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embeddings/oleObject8.bin" ContentType="application/vnd.openxmlformats-officedocument.oleObject"/>
  <Override PartName="/xl/embeddings/oleObject43.bin" ContentType="application/vnd.openxmlformats-officedocument.oleObject"/>
  <Override PartName="/xl/worksheets/sheet13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embeddings/oleObject21.bin" ContentType="application/vnd.openxmlformats-officedocument.oleObject"/>
  <Override PartName="/xl/embeddings/oleObject32.bin" ContentType="application/vnd.openxmlformats-officedocument.oleObject"/>
  <Override PartName="/xl/embeddings/oleObject10.bin" ContentType="application/vnd.openxmlformats-officedocument.oleObject"/>
  <Default Extension="xml" ContentType="application/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98.xml" ContentType="application/vnd.openxmlformats-officedocument.spreadsheetml.worksheet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embeddings/oleObject48.bin" ContentType="application/vnd.openxmlformats-officedocument.oleObject"/>
  <Override PartName="/xl/embeddings/oleObject59.bin" ContentType="application/vnd.openxmlformats-officedocument.oleObject"/>
  <Override PartName="/xl/embeddings/oleObject77.bin" ContentType="application/vnd.openxmlformats-officedocument.oleObject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embeddings/oleObject19.bin" ContentType="application/vnd.openxmlformats-officedocument.oleObject"/>
  <Override PartName="/xl/embeddings/oleObject37.bin" ContentType="application/vnd.openxmlformats-officedocument.oleObject"/>
  <Override PartName="/xl/embeddings/oleObject66.bin" ContentType="application/vnd.openxmlformats-officedocument.oleObject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102.xml" ContentType="application/vnd.openxmlformats-officedocument.spreadsheetml.worksheet+xml"/>
  <Override PartName="/xl/embeddings/oleObject9.bin" ContentType="application/vnd.openxmlformats-officedocument.oleObject"/>
  <Override PartName="/xl/embeddings/oleObject26.bin" ContentType="application/vnd.openxmlformats-officedocument.oleObject"/>
  <Override PartName="/xl/embeddings/oleObject44.bin" ContentType="application/vnd.openxmlformats-officedocument.oleObject"/>
  <Override PartName="/xl/embeddings/oleObject55.bin" ContentType="application/vnd.openxmlformats-officedocument.oleObject"/>
  <Override PartName="/xl/embeddings/oleObject73.bin" ContentType="application/vnd.openxmlformats-officedocument.oleObject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embeddings/oleObject15.bin" ContentType="application/vnd.openxmlformats-officedocument.oleObject"/>
  <Override PartName="/xl/embeddings/oleObject33.bin" ContentType="application/vnd.openxmlformats-officedocument.oleObject"/>
  <Override PartName="/xl/embeddings/oleObject62.bin" ContentType="application/vnd.openxmlformats-officedocument.oleObject"/>
  <Override PartName="/xl/embeddings/oleObject80.bin" ContentType="application/vnd.openxmlformats-officedocument.oleObject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embeddings/oleObject5.bin" ContentType="application/vnd.openxmlformats-officedocument.oleObject"/>
  <Override PartName="/xl/embeddings/oleObject22.bin" ContentType="application/vnd.openxmlformats-officedocument.oleObject"/>
  <Override PartName="/xl/embeddings/oleObject40.bin" ContentType="application/vnd.openxmlformats-officedocument.oleObject"/>
  <Override PartName="/xl/embeddings/oleObject51.bin" ContentType="application/vnd.openxmlformats-officedocument.oleObject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Default Extension="emf" ContentType="image/x-emf"/>
  <Override PartName="/xl/embeddings/oleObject11.bin" ContentType="application/vnd.openxmlformats-officedocument.oleObject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embeddings/oleObject49.bin" ContentType="application/vnd.openxmlformats-officedocument.oleObject"/>
  <Override PartName="/xl/embeddings/oleObject67.bin" ContentType="application/vnd.openxmlformats-officedocument.oleObject"/>
  <Override PartName="/xl/embeddings/oleObject78.bin" ContentType="application/vnd.openxmlformats-officedocument.oleObject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embeddings/oleObject38.bin" ContentType="application/vnd.openxmlformats-officedocument.oleObject"/>
  <Override PartName="/xl/embeddings/oleObject56.bin" ContentType="application/vnd.openxmlformats-officedocument.oleObject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55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110.xml" ContentType="application/vnd.openxmlformats-officedocument.spreadsheetml.worksheet+xml"/>
  <Override PartName="/xl/embeddings/oleObject16.bin" ContentType="application/vnd.openxmlformats-officedocument.oleObject"/>
  <Override PartName="/xl/embeddings/oleObject27.bin" ContentType="application/vnd.openxmlformats-officedocument.oleObject"/>
  <Override PartName="/xl/embeddings/oleObject45.bin" ContentType="application/vnd.openxmlformats-officedocument.oleObject"/>
  <Override PartName="/xl/embeddings/oleObject63.bin" ContentType="application/vnd.openxmlformats-officedocument.oleObject"/>
  <Override PartName="/xl/embeddings/oleObject74.bin" ContentType="application/vnd.openxmlformats-officedocument.oleObject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embeddings/oleObject23.bin" ContentType="application/vnd.openxmlformats-officedocument.oleObject"/>
  <Override PartName="/xl/embeddings/oleObject34.bin" ContentType="application/vnd.openxmlformats-officedocument.oleObject"/>
  <Override PartName="/xl/embeddings/oleObject52.bin" ContentType="application/vnd.openxmlformats-officedocument.oleObject"/>
  <Override PartName="/xl/embeddings/oleObject70.bin" ContentType="application/vnd.openxmlformats-officedocument.oleObject"/>
  <Override PartName="/xl/embeddings/oleObject81.bin" ContentType="application/vnd.openxmlformats-officedocument.oleObject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41.bin" ContentType="application/vnd.openxmlformats-officedocument.oleObject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embeddings/oleObject30.bin" ContentType="application/vnd.openxmlformats-officedocument.oleObject"/>
  <Override PartName="/xl/drawings/drawing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embeddings/oleObject2.bin" ContentType="application/vnd.openxmlformats-officedocument.oleObject"/>
  <Override PartName="/xl/worksheets/sheet89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embeddings/oleObject79.bin" ContentType="application/vnd.openxmlformats-officedocument.oleObject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worksheets/sheet96.xml" ContentType="application/vnd.openxmlformats-officedocument.spreadsheetml.worksheet+xml"/>
  <Override PartName="/xl/embeddings/oleObject39.bin" ContentType="application/vnd.openxmlformats-officedocument.oleObject"/>
  <Override PartName="/xl/embeddings/oleObject68.bin" ContentType="application/vnd.openxmlformats-officedocument.oleObject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4.xml" ContentType="application/vnd.openxmlformats-officedocument.spreadsheetml.worksheet+xml"/>
  <Override PartName="/xl/embeddings/oleObject28.bin" ContentType="application/vnd.openxmlformats-officedocument.oleObject"/>
  <Override PartName="/xl/embeddings/oleObject46.bin" ContentType="application/vnd.openxmlformats-officedocument.oleObject"/>
  <Override PartName="/xl/embeddings/oleObject57.bin" ContentType="application/vnd.openxmlformats-officedocument.oleObject"/>
  <Override PartName="/xl/embeddings/oleObject75.bin" ContentType="application/vnd.openxmlformats-officedocument.oleObject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embeddings/oleObject17.bin" ContentType="application/vnd.openxmlformats-officedocument.oleObject"/>
  <Override PartName="/xl/embeddings/oleObject35.bin" ContentType="application/vnd.openxmlformats-officedocument.oleObject"/>
  <Override PartName="/xl/embeddings/oleObject64.bin" ContentType="application/vnd.openxmlformats-officedocument.oleObject"/>
  <Override PartName="/xl/embeddings/oleObject82.bin" ContentType="application/vnd.openxmlformats-officedocument.oleObject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worksheets/sheet100.xml" ContentType="application/vnd.openxmlformats-officedocument.spreadsheetml.worksheet+xml"/>
  <Override PartName="/xl/embeddings/oleObject7.bin" ContentType="application/vnd.openxmlformats-officedocument.oleObject"/>
  <Override PartName="/xl/embeddings/oleObject24.bin" ContentType="application/vnd.openxmlformats-officedocument.oleObject"/>
  <Override PartName="/xl/embeddings/oleObject42.bin" ContentType="application/vnd.openxmlformats-officedocument.oleObject"/>
  <Override PartName="/xl/embeddings/oleObject53.bin" ContentType="application/vnd.openxmlformats-officedocument.oleObject"/>
  <Override PartName="/xl/embeddings/oleObject71.bin" ContentType="application/vnd.openxmlformats-officedocument.oleObject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embeddings/oleObject13.bin" ContentType="application/vnd.openxmlformats-officedocument.oleObject"/>
  <Override PartName="/xl/embeddings/oleObject31.bin" ContentType="application/vnd.openxmlformats-officedocument.oleObject"/>
  <Override PartName="/xl/embeddings/oleObject60.bin" ContentType="application/vnd.openxmlformats-officedocument.oleObject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embeddings/oleObject3.bin" ContentType="application/vnd.openxmlformats-officedocument.oleObject"/>
  <Override PartName="/xl/embeddings/oleObject20.bin" ContentType="application/vnd.openxmlformats-officedocument.oleObject"/>
  <Override PartName="/xl/drawings/drawing5.xml" ContentType="application/vnd.openxmlformats-officedocument.drawing+xml"/>
  <Override PartName="/xl/worksheets/sheet109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embeddings/oleObject69.bin" ContentType="application/vnd.openxmlformats-officedocument.oleObject"/>
  <Override PartName="/xl/comments3.xml" ContentType="application/vnd.openxmlformats-officedocument.spreadsheetml.comments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embeddings/oleObject58.bin" ContentType="application/vnd.openxmlformats-officedocument.oleObject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embeddings/oleObject18.bin" ContentType="application/vnd.openxmlformats-officedocument.oleObject"/>
  <Override PartName="/xl/embeddings/oleObject29.bin" ContentType="application/vnd.openxmlformats-officedocument.oleObject"/>
  <Override PartName="/xl/embeddings/oleObject47.bin" ContentType="application/vnd.openxmlformats-officedocument.oleObject"/>
  <Override PartName="/xl/embeddings/oleObject65.bin" ContentType="application/vnd.openxmlformats-officedocument.oleObject"/>
  <Override PartName="/xl/embeddings/oleObject76.bin" ContentType="application/vnd.openxmlformats-officedocument.oleObject"/>
  <Override PartName="/xl/worksheets/sheet17.xml" ContentType="application/vnd.openxmlformats-officedocument.spreadsheetml.worksheet+xml"/>
  <Override PartName="/xl/worksheets/sheet46.xml" ContentType="application/vnd.openxmlformats-officedocument.spreadsheetml.worksheet+xml"/>
  <Override PartName="/xl/worksheets/sheet6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embeddings/oleObject25.bin" ContentType="application/vnd.openxmlformats-officedocument.oleObject"/>
  <Override PartName="/xl/embeddings/oleObject36.bin" ContentType="application/vnd.openxmlformats-officedocument.oleObject"/>
  <Override PartName="/xl/embeddings/oleObject54.bin" ContentType="application/vnd.openxmlformats-officedocument.oleObject"/>
  <Override PartName="/xl/embeddings/oleObject72.bin" ContentType="application/vnd.openxmlformats-officedocument.oleObject"/>
  <Override PartName="/xl/embeddings/oleObject83.bin" ContentType="application/vnd.openxmlformats-officedocument.oleObject"/>
  <Override PartName="/xl/worksheets/sheet53.xml" ContentType="application/vnd.openxmlformats-officedocument.spreadsheetml.worksheet+xml"/>
  <Override PartName="/xl/embeddings/oleObject14.bin" ContentType="application/vnd.openxmlformats-officedocument.oleObject"/>
  <Override PartName="/xl/embeddings/oleObject61.bin" ContentType="application/vnd.openxmlformats-officedocument.oleObject"/>
  <Override PartName="/xl/worksheets/sheet42.xml" ContentType="application/vnd.openxmlformats-officedocument.spreadsheetml.worksheet+xml"/>
  <Override PartName="/xl/embeddings/oleObject50.bin" ContentType="application/vnd.openxmlformats-officedocument.oleObject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embeddings/oleObject4.bin" ContentType="application/vnd.openxmlformats-officedocument.oleObject"/>
  <Override PartName="/xl/comments4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480" yWindow="720" windowWidth="8700" windowHeight="1185"/>
  </bookViews>
  <sheets>
    <sheet name="DAFTAR ANGGT" sheetId="1" r:id="rId1"/>
    <sheet name="0003" sheetId="6" r:id="rId2"/>
    <sheet name="0004" sheetId="8" r:id="rId3"/>
    <sheet name="0006" sheetId="10" r:id="rId4"/>
    <sheet name="0008" sheetId="15" r:id="rId5"/>
    <sheet name="0009" sheetId="16" r:id="rId6"/>
    <sheet name="0013" sheetId="26" r:id="rId7"/>
    <sheet name="0015" sheetId="24" r:id="rId8"/>
    <sheet name="0016" sheetId="23" r:id="rId9"/>
    <sheet name="0017" sheetId="22" r:id="rId10"/>
    <sheet name="0020" sheetId="21" r:id="rId11"/>
    <sheet name="0023" sheetId="31" r:id="rId12"/>
    <sheet name="0026" sheetId="39" r:id="rId13"/>
    <sheet name="0027" sheetId="38" r:id="rId14"/>
    <sheet name="0091" sheetId="40" r:id="rId15"/>
    <sheet name="0092" sheetId="41" r:id="rId16"/>
    <sheet name="0093" sheetId="37" r:id="rId17"/>
    <sheet name="0029" sheetId="36" r:id="rId18"/>
    <sheet name="0030" sheetId="34" r:id="rId19"/>
    <sheet name="0036" sheetId="48" r:id="rId20"/>
    <sheet name="0037" sheetId="50" r:id="rId21"/>
    <sheet name="0038" sheetId="51" r:id="rId22"/>
    <sheet name="0040" sheetId="53" r:id="rId23"/>
    <sheet name="0041" sheetId="54" r:id="rId24"/>
    <sheet name="0042" sheetId="55" r:id="rId25"/>
    <sheet name="0045" sheetId="58" r:id="rId26"/>
    <sheet name="0047" sheetId="60" r:id="rId27"/>
    <sheet name="0049" sheetId="64" r:id="rId28"/>
    <sheet name="0050" sheetId="65" r:id="rId29"/>
    <sheet name="0051" sheetId="66" r:id="rId30"/>
    <sheet name="0052" sheetId="67" r:id="rId31"/>
    <sheet name="0053" sheetId="68" r:id="rId32"/>
    <sheet name="0054" sheetId="69" r:id="rId33"/>
    <sheet name="0055" sheetId="70" r:id="rId34"/>
    <sheet name="0057" sheetId="72" r:id="rId35"/>
    <sheet name="0060" sheetId="75" r:id="rId36"/>
    <sheet name="0062" sheetId="77" r:id="rId37"/>
    <sheet name="0065" sheetId="80" r:id="rId38"/>
    <sheet name="0067" sheetId="82" r:id="rId39"/>
    <sheet name="0072" sheetId="87" r:id="rId40"/>
    <sheet name="0073" sheetId="88" r:id="rId41"/>
    <sheet name="0079" sheetId="96" r:id="rId42"/>
    <sheet name="0080" sheetId="97" r:id="rId43"/>
    <sheet name="0081" sheetId="98" r:id="rId44"/>
    <sheet name="0082" sheetId="17" r:id="rId45"/>
    <sheet name="0086" sheetId="81" r:id="rId46"/>
    <sheet name="0087" sheetId="33" r:id="rId47"/>
    <sheet name="0088" sheetId="91" r:id="rId48"/>
    <sheet name="0089" sheetId="79" r:id="rId49"/>
    <sheet name="0090" sheetId="78" r:id="rId50"/>
    <sheet name="0094" sheetId="32" r:id="rId51"/>
    <sheet name="0095" sheetId="71" r:id="rId52"/>
    <sheet name="0096" sheetId="9" r:id="rId53"/>
    <sheet name="0097" sheetId="28" r:id="rId54"/>
    <sheet name="0098" sheetId="2" r:id="rId55"/>
    <sheet name="0099" sheetId="11" r:id="rId56"/>
    <sheet name="0101" sheetId="18" r:id="rId57"/>
    <sheet name="0102" sheetId="29" r:id="rId58"/>
    <sheet name="0103" sheetId="44" r:id="rId59"/>
    <sheet name="0104" sheetId="45" r:id="rId60"/>
    <sheet name="0105" sheetId="52" r:id="rId61"/>
    <sheet name="0106" sheetId="101" r:id="rId62"/>
    <sheet name="0107" sheetId="102" r:id="rId63"/>
    <sheet name="0108" sheetId="103" r:id="rId64"/>
    <sheet name="0109" sheetId="104" r:id="rId65"/>
    <sheet name="0110" sheetId="105" r:id="rId66"/>
    <sheet name="0111" sheetId="108" r:id="rId67"/>
    <sheet name="0112" sheetId="109" r:id="rId68"/>
    <sheet name="0113" sheetId="110" r:id="rId69"/>
    <sheet name="0114" sheetId="112" r:id="rId70"/>
    <sheet name="0115" sheetId="111" r:id="rId71"/>
    <sheet name="0116" sheetId="113" r:id="rId72"/>
    <sheet name="0117" sheetId="114" r:id="rId73"/>
    <sheet name="0118" sheetId="115" r:id="rId74"/>
    <sheet name="0119" sheetId="116" r:id="rId75"/>
    <sheet name="0120" sheetId="107" r:id="rId76"/>
    <sheet name="0121" sheetId="117" r:id="rId77"/>
    <sheet name="0122" sheetId="118" r:id="rId78"/>
    <sheet name="0123" sheetId="120" r:id="rId79"/>
    <sheet name="0012" sheetId="27" r:id="rId80"/>
    <sheet name="0078" sheetId="95" r:id="rId81"/>
    <sheet name="0002" sheetId="7" r:id="rId82"/>
    <sheet name="0014" sheetId="25" r:id="rId83"/>
    <sheet name="0061" sheetId="76" r:id="rId84"/>
    <sheet name="0031" sheetId="35" r:id="rId85"/>
    <sheet name="0021" sheetId="30" r:id="rId86"/>
    <sheet name="0034" sheetId="42" r:id="rId87"/>
    <sheet name="0044" sheetId="57" r:id="rId88"/>
    <sheet name="0046" sheetId="59" r:id="rId89"/>
    <sheet name="0048" sheetId="61" r:id="rId90"/>
    <sheet name="0058" sheetId="73" r:id="rId91"/>
    <sheet name="0059" sheetId="74" r:id="rId92"/>
    <sheet name="0069" sheetId="84" r:id="rId93"/>
    <sheet name="0070" sheetId="85" r:id="rId94"/>
    <sheet name="0071" sheetId="86" r:id="rId95"/>
    <sheet name="0074" sheetId="89" r:id="rId96"/>
    <sheet name="0075" sheetId="90" r:id="rId97"/>
    <sheet name="0077" sheetId="92" r:id="rId98"/>
    <sheet name="TOTAL" sheetId="43" r:id="rId99"/>
    <sheet name="0043" sheetId="56" r:id="rId100"/>
    <sheet name="0068" sheetId="83" r:id="rId101"/>
    <sheet name="Sheet1" sheetId="100" r:id="rId102"/>
    <sheet name="MMBUDI" sheetId="47" r:id="rId103"/>
    <sheet name="MMSPRLN" sheetId="49" r:id="rId104"/>
    <sheet name="TTD SHU" sheetId="62" r:id="rId105"/>
    <sheet name="ABSEN" sheetId="63" r:id="rId106"/>
    <sheet name="DAFTAR" sheetId="99" r:id="rId107"/>
    <sheet name="TREND AGT" sheetId="94" r:id="rId108"/>
    <sheet name="Sheet2" sheetId="106" r:id="rId109"/>
    <sheet name="Sheet3" sheetId="119" r:id="rId110"/>
  </sheets>
  <externalReferences>
    <externalReference r:id="rId111"/>
    <externalReference r:id="rId112"/>
    <externalReference r:id="rId113"/>
  </externalReferences>
  <definedNames>
    <definedName name="_xlnm.Print_Area" localSheetId="81">'0002'!$A$1:$I$23</definedName>
    <definedName name="_xlnm.Print_Area" localSheetId="1">'0003'!$A$1:$I$22</definedName>
    <definedName name="_xlnm.Print_Area" localSheetId="2">'0004'!$A$1:$H$26</definedName>
    <definedName name="_xlnm.Print_Area" localSheetId="3">'0006'!$A$1:$H$21</definedName>
    <definedName name="_xlnm.Print_Area" localSheetId="4">'0008'!$A$1:$H$36</definedName>
    <definedName name="_xlnm.Print_Area" localSheetId="5">'0009'!$A$1:$H$19</definedName>
    <definedName name="_xlnm.Print_Area" localSheetId="79">'0012'!$A$1:$J$25</definedName>
    <definedName name="_xlnm.Print_Area" localSheetId="6">'0013'!$B$1:$I$28</definedName>
    <definedName name="_xlnm.Print_Area" localSheetId="82">'0014'!$A$1:$H$21</definedName>
    <definedName name="_xlnm.Print_Area" localSheetId="7">'0015'!$B$1:$H$44</definedName>
    <definedName name="_xlnm.Print_Area" localSheetId="8">'0016'!$A$1:$I$21</definedName>
    <definedName name="_xlnm.Print_Area" localSheetId="9">'0017'!$A$1:$H$25</definedName>
    <definedName name="_xlnm.Print_Area" localSheetId="10">'0020'!$B$1:$J$43</definedName>
    <definedName name="_xlnm.Print_Area" localSheetId="85">'0021'!$B$1:$I$20</definedName>
    <definedName name="_xlnm.Print_Area" localSheetId="11">'0023'!$B$1:$H$59</definedName>
    <definedName name="_xlnm.Print_Area" localSheetId="12">'0026'!$A$1:$H$22</definedName>
    <definedName name="_xlnm.Print_Area" localSheetId="13">'0027'!$A$1:$H$22</definedName>
    <definedName name="_xlnm.Print_Area" localSheetId="17">'0029'!$B$1:$H$22</definedName>
    <definedName name="_xlnm.Print_Area" localSheetId="18">'0030'!$A$1:$H$39</definedName>
    <definedName name="_xlnm.Print_Area" localSheetId="84">'0031'!$B$1:$I$21</definedName>
    <definedName name="_xlnm.Print_Area" localSheetId="86">'0034'!$B$1:$H$62</definedName>
    <definedName name="_xlnm.Print_Area" localSheetId="19">'0036'!$B$1:$I$34</definedName>
    <definedName name="_xlnm.Print_Area" localSheetId="20">'0037'!$B$1:$I$26</definedName>
    <definedName name="_xlnm.Print_Area" localSheetId="21">'0038'!$B$1:$I$23</definedName>
    <definedName name="_xlnm.Print_Area" localSheetId="22">'0040'!$B$1:$I$23</definedName>
    <definedName name="_xlnm.Print_Area" localSheetId="23">'0041'!$B$1:$I$27</definedName>
    <definedName name="_xlnm.Print_Area" localSheetId="24">'0042'!$B$1:$I$33</definedName>
    <definedName name="_xlnm.Print_Area" localSheetId="99">'0043'!$B$1:$I$30</definedName>
    <definedName name="_xlnm.Print_Area" localSheetId="25">'0045'!$B$1:$I$22</definedName>
    <definedName name="_xlnm.Print_Area" localSheetId="88">'0046'!$B$1:$I$35</definedName>
    <definedName name="_xlnm.Print_Area" localSheetId="26">'0047'!$B$1:$I$25</definedName>
    <definedName name="_xlnm.Print_Area" localSheetId="89">'0048'!$B$1:$H$25</definedName>
    <definedName name="_xlnm.Print_Area" localSheetId="27">'0049'!$B$1:$H$22</definedName>
    <definedName name="_xlnm.Print_Area" localSheetId="28">'0050'!$B$1:$H$81</definedName>
    <definedName name="_xlnm.Print_Area" localSheetId="29">'0051'!$B$1:$H$26</definedName>
    <definedName name="_xlnm.Print_Area" localSheetId="30">'0052'!$B$1:$H$24</definedName>
    <definedName name="_xlnm.Print_Area" localSheetId="31">'0053'!$B$1:$H$27</definedName>
    <definedName name="_xlnm.Print_Area" localSheetId="32">'0054'!$B$1:$H$24</definedName>
    <definedName name="_xlnm.Print_Area" localSheetId="33">'0055'!$B$1:$H$31</definedName>
    <definedName name="_xlnm.Print_Area" localSheetId="44">'0082'!$B$1:$I$60</definedName>
    <definedName name="_xlnm.Print_Area" localSheetId="46">'0087'!$B$1:$I$23</definedName>
    <definedName name="_xlnm.Print_Area" localSheetId="14">'0091'!$A$1:$H$22</definedName>
    <definedName name="_xlnm.Print_Area" localSheetId="15">'0092'!$A$1:$H$22</definedName>
    <definedName name="_xlnm.Print_Area" localSheetId="16">'0093'!$A$1:$H$22</definedName>
    <definedName name="_xlnm.Print_Area" localSheetId="50">'0094'!$B$1:$H$43</definedName>
    <definedName name="_xlnm.Print_Area" localSheetId="51">'0095'!$B$1:$H$24</definedName>
    <definedName name="_xlnm.Print_Area" localSheetId="52">'0096'!$B$1:$H$40</definedName>
    <definedName name="_xlnm.Print_Area" localSheetId="53">'0097'!$B$1:$H$32</definedName>
    <definedName name="_xlnm.Print_Area" localSheetId="54">'0098'!$B$1:$I$20</definedName>
    <definedName name="_xlnm.Print_Area" localSheetId="55">'0099'!$A$1:$H$35</definedName>
    <definedName name="_xlnm.Print_Area" localSheetId="56">'0101'!$A$1:$H$37</definedName>
    <definedName name="_xlnm.Print_Area" localSheetId="57">'0102'!$A$1:$H$25</definedName>
    <definedName name="_xlnm.Print_Area" localSheetId="58">'0103'!$B$1:$I$22</definedName>
    <definedName name="_xlnm.Print_Area" localSheetId="59">'0104'!$A$1:$I$51</definedName>
    <definedName name="_xlnm.Print_Area" localSheetId="60">'0105'!$B$1:$I$33</definedName>
    <definedName name="_xlnm.Print_Area" localSheetId="73">'0118'!$B$1:$H$20</definedName>
    <definedName name="_xlnm.Print_Area" localSheetId="105">ABSEN!$A$1:$M$163</definedName>
    <definedName name="_xlnm.Print_Area" localSheetId="0">'DAFTAR ANGGT'!$C$6:$V$87</definedName>
    <definedName name="_xlnm.Print_Area" localSheetId="109">Sheet3!$B$1:$H$61</definedName>
    <definedName name="_xlnm.Print_Area" localSheetId="104">'TTD SHU'!$A$1:$M$163</definedName>
    <definedName name="_xlnm.Print_Titles" localSheetId="105">ABSEN!$6:$8</definedName>
    <definedName name="_xlnm.Print_Titles" localSheetId="106">DAFTAR!$4:$6</definedName>
    <definedName name="_xlnm.Print_Titles" localSheetId="0">'DAFTAR ANGGT'!$6:$8</definedName>
    <definedName name="_xlnm.Print_Titles" localSheetId="108">Sheet2!$1:$3</definedName>
    <definedName name="_xlnm.Print_Titles" localSheetId="104">'TTD SHU'!$6:$8</definedName>
  </definedNames>
  <calcPr calcId="125725"/>
</workbook>
</file>

<file path=xl/calcChain.xml><?xml version="1.0" encoding="utf-8"?>
<calcChain xmlns="http://schemas.openxmlformats.org/spreadsheetml/2006/main">
  <c r="I95" i="1"/>
  <c r="H95"/>
  <c r="G95"/>
  <c r="F95"/>
  <c r="E95"/>
  <c r="P50" i="120"/>
  <c r="O50"/>
  <c r="N50"/>
  <c r="M50"/>
  <c r="H50"/>
  <c r="G50"/>
  <c r="F50"/>
  <c r="H16"/>
  <c r="H15"/>
  <c r="H6"/>
  <c r="L3"/>
  <c r="L50" s="1"/>
  <c r="P51" s="1"/>
  <c r="U95" i="1"/>
  <c r="H24" i="110"/>
  <c r="H29" i="28"/>
  <c r="H54" i="97"/>
  <c r="H46" i="82"/>
  <c r="H17" i="116"/>
  <c r="H21" i="41"/>
  <c r="H38" i="17"/>
  <c r="H29" i="101"/>
  <c r="H33" i="61"/>
  <c r="H34" s="1"/>
  <c r="H35" s="1"/>
  <c r="H28" i="28"/>
  <c r="H26"/>
  <c r="H27" s="1"/>
  <c r="H18" i="113"/>
  <c r="M81" i="65"/>
  <c r="H32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L81"/>
  <c r="H24" i="11"/>
  <c r="V95" i="1" l="1"/>
  <c r="T95"/>
  <c r="M54" i="59"/>
  <c r="H53" i="97" l="1"/>
  <c r="P49" i="119"/>
  <c r="O49"/>
  <c r="N49"/>
  <c r="M49"/>
  <c r="L49"/>
  <c r="G49"/>
  <c r="F49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"/>
  <c r="H6" s="1"/>
  <c r="H23" i="110"/>
  <c r="H18" i="45"/>
  <c r="H20" i="41"/>
  <c r="H49" i="119" l="1"/>
  <c r="H41"/>
  <c r="H42" s="1"/>
  <c r="H43" s="1"/>
  <c r="H44" s="1"/>
  <c r="H45" s="1"/>
  <c r="H46" s="1"/>
  <c r="P50"/>
  <c r="H35" i="67"/>
  <c r="H32"/>
  <c r="H33" s="1"/>
  <c r="H34" s="1"/>
  <c r="H30" i="104"/>
  <c r="H37" i="17"/>
  <c r="H20" i="112"/>
  <c r="H52" i="97"/>
  <c r="H93" i="24"/>
  <c r="I94" i="1"/>
  <c r="H94"/>
  <c r="G94"/>
  <c r="F94"/>
  <c r="E94"/>
  <c r="T94"/>
  <c r="U94"/>
  <c r="V94"/>
  <c r="P50" i="118"/>
  <c r="O50"/>
  <c r="N50"/>
  <c r="M50"/>
  <c r="L50"/>
  <c r="P51" s="1"/>
  <c r="H50"/>
  <c r="G50"/>
  <c r="F50"/>
  <c r="H16"/>
  <c r="H15"/>
  <c r="H6"/>
  <c r="L3"/>
  <c r="H29" i="104"/>
  <c r="H92" i="24"/>
  <c r="H91"/>
  <c r="H23" i="11"/>
  <c r="H26" i="101"/>
  <c r="H27" s="1"/>
  <c r="H28" s="1"/>
  <c r="H36" i="17"/>
  <c r="H51" i="97" l="1"/>
  <c r="H22" i="110"/>
  <c r="H35" i="17"/>
  <c r="H28" i="104" l="1"/>
  <c r="I93" i="1" l="1"/>
  <c r="H93"/>
  <c r="G93"/>
  <c r="F93"/>
  <c r="E93"/>
  <c r="T93"/>
  <c r="U93"/>
  <c r="V93"/>
  <c r="G92"/>
  <c r="F92"/>
  <c r="E92"/>
  <c r="P50" i="117"/>
  <c r="O50"/>
  <c r="N50"/>
  <c r="M50"/>
  <c r="H50"/>
  <c r="G50"/>
  <c r="F50"/>
  <c r="H16"/>
  <c r="H15"/>
  <c r="H6"/>
  <c r="L3"/>
  <c r="L50" s="1"/>
  <c r="P51" s="1"/>
  <c r="H18" i="107"/>
  <c r="H50" i="97"/>
  <c r="L50" i="107"/>
  <c r="H25" i="9"/>
  <c r="H18" i="111"/>
  <c r="H25" i="101"/>
  <c r="H24"/>
  <c r="M39" i="28" l="1"/>
  <c r="H25"/>
  <c r="H27" i="104"/>
  <c r="H19" i="41"/>
  <c r="H34" i="17"/>
  <c r="I91" i="1"/>
  <c r="T91" s="1"/>
  <c r="H91"/>
  <c r="G91"/>
  <c r="F91"/>
  <c r="E91"/>
  <c r="U91"/>
  <c r="P50" i="116"/>
  <c r="O50"/>
  <c r="N50"/>
  <c r="M50"/>
  <c r="P51" s="1"/>
  <c r="L50"/>
  <c r="H50"/>
  <c r="G50"/>
  <c r="F50"/>
  <c r="H16"/>
  <c r="H15"/>
  <c r="H6"/>
  <c r="L3"/>
  <c r="G7" i="9"/>
  <c r="M48" i="91"/>
  <c r="H25"/>
  <c r="H33" i="17"/>
  <c r="V91" i="1" l="1"/>
  <c r="I90"/>
  <c r="H90"/>
  <c r="G90"/>
  <c r="F90"/>
  <c r="E90"/>
  <c r="U90"/>
  <c r="P50" i="115"/>
  <c r="O50"/>
  <c r="N50"/>
  <c r="M50"/>
  <c r="H50"/>
  <c r="G50"/>
  <c r="F50"/>
  <c r="H16"/>
  <c r="H15"/>
  <c r="H6"/>
  <c r="L3"/>
  <c r="L50" s="1"/>
  <c r="P51" s="1"/>
  <c r="H39" i="50"/>
  <c r="M51" i="48"/>
  <c r="M50" i="66"/>
  <c r="H24" i="28"/>
  <c r="M67" i="79"/>
  <c r="H21" i="110"/>
  <c r="K88" i="1"/>
  <c r="N50" i="44"/>
  <c r="M50"/>
  <c r="M40" i="9"/>
  <c r="M50" i="110"/>
  <c r="M50" i="113"/>
  <c r="H26" i="104"/>
  <c r="H24" i="9"/>
  <c r="V90" i="1" l="1"/>
  <c r="T90"/>
  <c r="H23" i="101"/>
  <c r="H22"/>
  <c r="H19" i="112"/>
  <c r="M50" i="71"/>
  <c r="H49" i="97"/>
  <c r="H38" i="50"/>
  <c r="H37"/>
  <c r="H32" i="61"/>
  <c r="I89" i="1"/>
  <c r="T89" s="1"/>
  <c r="H89"/>
  <c r="G89"/>
  <c r="F89"/>
  <c r="E89"/>
  <c r="P50" i="114"/>
  <c r="O50"/>
  <c r="N50"/>
  <c r="M50"/>
  <c r="H50"/>
  <c r="G50"/>
  <c r="F50"/>
  <c r="H16"/>
  <c r="H15"/>
  <c r="H6"/>
  <c r="L3"/>
  <c r="L50" s="1"/>
  <c r="P51" s="1"/>
  <c r="U89" i="1"/>
  <c r="H42" i="69"/>
  <c r="M50" i="41"/>
  <c r="M53" i="17"/>
  <c r="M50" i="29"/>
  <c r="H19"/>
  <c r="H18" i="41"/>
  <c r="H32" i="17"/>
  <c r="H33" i="8"/>
  <c r="H32" i="6"/>
  <c r="H39" i="26"/>
  <c r="H24" i="16"/>
  <c r="H31" i="17"/>
  <c r="V89" i="1" l="1"/>
  <c r="H23" i="9"/>
  <c r="H88" i="1"/>
  <c r="G88"/>
  <c r="F88"/>
  <c r="E88"/>
  <c r="U88"/>
  <c r="P50" i="113"/>
  <c r="O50"/>
  <c r="N50"/>
  <c r="I88" i="1"/>
  <c r="V88" s="1"/>
  <c r="G50" i="113"/>
  <c r="F50"/>
  <c r="H50" s="1"/>
  <c r="H17"/>
  <c r="H16"/>
  <c r="H15"/>
  <c r="H6"/>
  <c r="L3"/>
  <c r="L50" s="1"/>
  <c r="P51" l="1"/>
  <c r="T88" i="1"/>
  <c r="H31" i="61" l="1"/>
  <c r="H45" i="82"/>
  <c r="H47" i="97"/>
  <c r="H48" s="1"/>
  <c r="H90" i="24"/>
  <c r="H25" i="104"/>
  <c r="H22" i="11"/>
  <c r="H23" i="91"/>
  <c r="H24" s="1"/>
  <c r="H30" i="17"/>
  <c r="H20" i="110"/>
  <c r="H26" i="18"/>
  <c r="H23" i="104"/>
  <c r="H24" s="1"/>
  <c r="H30" i="61"/>
  <c r="H29" i="17"/>
  <c r="H25" i="18"/>
  <c r="H22" i="105"/>
  <c r="H18" i="110"/>
  <c r="H19" s="1"/>
  <c r="S16" i="1"/>
  <c r="H32" i="10"/>
  <c r="S21" i="1"/>
  <c r="O78" i="21"/>
  <c r="H68"/>
  <c r="H66"/>
  <c r="H67" s="1"/>
  <c r="H18" i="112"/>
  <c r="H88" i="24"/>
  <c r="H89" s="1"/>
  <c r="H43" i="82"/>
  <c r="H44" s="1"/>
  <c r="H46" i="97"/>
  <c r="O50" i="10"/>
  <c r="H31"/>
  <c r="H29"/>
  <c r="H30" s="1"/>
  <c r="N3" i="9"/>
  <c r="H22"/>
  <c r="H21" i="101"/>
  <c r="H24" i="7"/>
  <c r="H22" i="28"/>
  <c r="H23" s="1"/>
  <c r="H23" i="18"/>
  <c r="H24" s="1"/>
  <c r="H87" i="24"/>
  <c r="H28" i="17"/>
  <c r="H21" i="105"/>
  <c r="H21" i="9"/>
  <c r="H17" i="83"/>
  <c r="H18" s="1"/>
  <c r="H17" i="45"/>
  <c r="H20" i="11"/>
  <c r="H21" s="1"/>
  <c r="O50" i="44"/>
  <c r="P50"/>
  <c r="H20" i="98"/>
  <c r="H21" s="1"/>
  <c r="H22" s="1"/>
  <c r="H23" s="1"/>
  <c r="H20" i="101"/>
  <c r="H19"/>
  <c r="H22" i="104"/>
  <c r="H25" i="81"/>
  <c r="H45" i="97"/>
  <c r="H43"/>
  <c r="H44" s="1"/>
  <c r="R180" i="1"/>
  <c r="V31"/>
  <c r="V63"/>
  <c r="AB180"/>
  <c r="AB173"/>
  <c r="AB174"/>
  <c r="AB175"/>
  <c r="AB176"/>
  <c r="AB177"/>
  <c r="AB178"/>
  <c r="AJ28"/>
  <c r="AJ29"/>
  <c r="AJ30"/>
  <c r="AJ31"/>
  <c r="AJ32"/>
  <c r="AJ33"/>
  <c r="AJ27"/>
  <c r="AL27" s="1"/>
  <c r="I87"/>
  <c r="H87"/>
  <c r="H86"/>
  <c r="G87"/>
  <c r="G86"/>
  <c r="G85"/>
  <c r="F87"/>
  <c r="F86"/>
  <c r="F85"/>
  <c r="F84"/>
  <c r="F83"/>
  <c r="F82"/>
  <c r="F81"/>
  <c r="E87"/>
  <c r="E86"/>
  <c r="U86"/>
  <c r="U87"/>
  <c r="P50" i="111"/>
  <c r="O50"/>
  <c r="N50"/>
  <c r="M50"/>
  <c r="G50"/>
  <c r="F50"/>
  <c r="H50" s="1"/>
  <c r="H17"/>
  <c r="H16"/>
  <c r="H15"/>
  <c r="H6"/>
  <c r="L3"/>
  <c r="L50" s="1"/>
  <c r="P51" s="1"/>
  <c r="P50" i="112"/>
  <c r="O50"/>
  <c r="N50"/>
  <c r="M50"/>
  <c r="I86" i="1" s="1"/>
  <c r="G50" i="112"/>
  <c r="F50"/>
  <c r="H50" s="1"/>
  <c r="H17"/>
  <c r="H16"/>
  <c r="H15"/>
  <c r="H6"/>
  <c r="L3"/>
  <c r="L50" s="1"/>
  <c r="H27" i="17"/>
  <c r="H18" i="29"/>
  <c r="H36" i="50"/>
  <c r="H29" i="61"/>
  <c r="AJ34" i="1" l="1"/>
  <c r="AM27"/>
  <c r="Z9" s="1"/>
  <c r="V87"/>
  <c r="P51" i="112"/>
  <c r="T86" i="1"/>
  <c r="V86"/>
  <c r="T87"/>
  <c r="H17" i="110" l="1"/>
  <c r="H27" i="61"/>
  <c r="H28" s="1"/>
  <c r="H20" i="105"/>
  <c r="M53" i="69"/>
  <c r="H40"/>
  <c r="H41" s="1"/>
  <c r="H19" i="9"/>
  <c r="H20" s="1"/>
  <c r="H86" i="24"/>
  <c r="H21" i="104"/>
  <c r="H32" i="70"/>
  <c r="H19" i="105"/>
  <c r="H26" i="17"/>
  <c r="H35" i="50"/>
  <c r="H85" i="1"/>
  <c r="E85"/>
  <c r="P50" i="110"/>
  <c r="O50"/>
  <c r="N50"/>
  <c r="I85" i="1"/>
  <c r="G50" i="110"/>
  <c r="F50"/>
  <c r="H50" s="1"/>
  <c r="H16"/>
  <c r="H15"/>
  <c r="H6"/>
  <c r="L3"/>
  <c r="L50" s="1"/>
  <c r="U85" i="1"/>
  <c r="H22" i="91"/>
  <c r="H18" i="102"/>
  <c r="H17"/>
  <c r="H84" i="24"/>
  <c r="H85" s="1"/>
  <c r="H24" i="81"/>
  <c r="H22" i="18"/>
  <c r="H21" i="28"/>
  <c r="H19"/>
  <c r="H20" s="1"/>
  <c r="H20" i="104"/>
  <c r="H42" i="97"/>
  <c r="H21" i="18"/>
  <c r="H18" i="105"/>
  <c r="N63" i="72"/>
  <c r="O63"/>
  <c r="P63"/>
  <c r="M63"/>
  <c r="H30"/>
  <c r="N53" i="17"/>
  <c r="H25"/>
  <c r="H25" i="61"/>
  <c r="H26" s="1"/>
  <c r="H22" i="44"/>
  <c r="H23" s="1"/>
  <c r="H24" s="1"/>
  <c r="H25" s="1"/>
  <c r="H26" s="1"/>
  <c r="H27" s="1"/>
  <c r="H28" s="1"/>
  <c r="H18" i="104"/>
  <c r="H19" s="1"/>
  <c r="H21" i="91"/>
  <c r="V85" i="1" l="1"/>
  <c r="P51" i="110"/>
  <c r="T85" i="1"/>
  <c r="H39" i="97"/>
  <c r="H40" s="1"/>
  <c r="H41" s="1"/>
  <c r="I84" i="1" l="1"/>
  <c r="H84"/>
  <c r="E84"/>
  <c r="G84"/>
  <c r="U84"/>
  <c r="P50" i="109"/>
  <c r="O50"/>
  <c r="N50"/>
  <c r="M50"/>
  <c r="H50"/>
  <c r="G50"/>
  <c r="F50"/>
  <c r="H17"/>
  <c r="H16"/>
  <c r="H15"/>
  <c r="H6"/>
  <c r="L3"/>
  <c r="L50" s="1"/>
  <c r="P51" s="1"/>
  <c r="H30" i="70"/>
  <c r="H31" s="1"/>
  <c r="K77" i="1"/>
  <c r="K76"/>
  <c r="H18" i="101"/>
  <c r="N54" i="59"/>
  <c r="K35" i="1" s="1"/>
  <c r="N67" i="79"/>
  <c r="H24" i="17"/>
  <c r="V84" i="1" l="1"/>
  <c r="T84"/>
  <c r="H22" i="81"/>
  <c r="H23" s="1"/>
  <c r="I83" i="1"/>
  <c r="H83"/>
  <c r="G83"/>
  <c r="E83"/>
  <c r="U83"/>
  <c r="P50" i="108"/>
  <c r="O50"/>
  <c r="N50"/>
  <c r="M50"/>
  <c r="H50"/>
  <c r="G50"/>
  <c r="F50"/>
  <c r="H17"/>
  <c r="H16"/>
  <c r="H15"/>
  <c r="H6"/>
  <c r="L3"/>
  <c r="L50" s="1"/>
  <c r="P51" s="1"/>
  <c r="H83" i="24"/>
  <c r="P50" i="107"/>
  <c r="O50"/>
  <c r="N50"/>
  <c r="M50"/>
  <c r="I92" i="1" s="1"/>
  <c r="G50" i="107"/>
  <c r="F50"/>
  <c r="H50" s="1"/>
  <c r="H15"/>
  <c r="H16" s="1"/>
  <c r="H17" s="1"/>
  <c r="H6"/>
  <c r="L3"/>
  <c r="U92" i="1"/>
  <c r="H20" i="91"/>
  <c r="H24" i="61"/>
  <c r="H22" i="17"/>
  <c r="H23" s="1"/>
  <c r="H82" i="24"/>
  <c r="P51" i="107" l="1"/>
  <c r="H92" i="1"/>
  <c r="T92" s="1"/>
  <c r="V83"/>
  <c r="T83"/>
  <c r="H20" i="18"/>
  <c r="H82" i="1"/>
  <c r="G82"/>
  <c r="E82"/>
  <c r="U82"/>
  <c r="P50" i="105"/>
  <c r="O50"/>
  <c r="N50"/>
  <c r="M50"/>
  <c r="I82" i="1" s="1"/>
  <c r="G50" i="105"/>
  <c r="F50"/>
  <c r="H50" s="1"/>
  <c r="H17"/>
  <c r="H16"/>
  <c r="H15"/>
  <c r="H6"/>
  <c r="L3"/>
  <c r="L50" s="1"/>
  <c r="H17" i="104"/>
  <c r="H20" i="44"/>
  <c r="H81" i="1"/>
  <c r="G81"/>
  <c r="E81"/>
  <c r="H6" i="104"/>
  <c r="P50"/>
  <c r="O50"/>
  <c r="N50"/>
  <c r="M50"/>
  <c r="I81" i="1" s="1"/>
  <c r="G50" i="104"/>
  <c r="F50"/>
  <c r="H50" s="1"/>
  <c r="H16"/>
  <c r="H15"/>
  <c r="L3"/>
  <c r="L50" s="1"/>
  <c r="U81" i="1"/>
  <c r="H81" i="24"/>
  <c r="H80"/>
  <c r="H19" i="18"/>
  <c r="H34" i="50"/>
  <c r="H17" i="9"/>
  <c r="H18" s="1"/>
  <c r="H19" i="44"/>
  <c r="V81" i="1" l="1"/>
  <c r="V92"/>
  <c r="V82"/>
  <c r="P51" i="104"/>
  <c r="P51" i="105"/>
  <c r="T82" i="1"/>
  <c r="T81"/>
  <c r="H17" i="101"/>
  <c r="H16"/>
  <c r="H51" i="80"/>
  <c r="H38" i="97"/>
  <c r="I80" i="1" l="1"/>
  <c r="H80"/>
  <c r="G80"/>
  <c r="F80"/>
  <c r="E80"/>
  <c r="U80"/>
  <c r="H6" i="103"/>
  <c r="P50"/>
  <c r="O50"/>
  <c r="N50"/>
  <c r="M50"/>
  <c r="L50"/>
  <c r="H50"/>
  <c r="G50"/>
  <c r="F50"/>
  <c r="H16"/>
  <c r="H15"/>
  <c r="L3"/>
  <c r="V80" i="1" l="1"/>
  <c r="T80"/>
  <c r="P51" i="103"/>
  <c r="H21" i="81" l="1"/>
  <c r="H17" i="29"/>
  <c r="H21" i="17"/>
  <c r="H35" i="97"/>
  <c r="H36" s="1"/>
  <c r="H37" s="1"/>
  <c r="H18" i="44"/>
  <c r="H18" i="18"/>
  <c r="H22" i="61"/>
  <c r="H23" s="1"/>
  <c r="O47"/>
  <c r="P47"/>
  <c r="N47"/>
  <c r="H79" i="1"/>
  <c r="H78"/>
  <c r="G79"/>
  <c r="G78"/>
  <c r="F79"/>
  <c r="F78"/>
  <c r="E79"/>
  <c r="E78"/>
  <c r="U79"/>
  <c r="P50" i="102"/>
  <c r="O50"/>
  <c r="N50"/>
  <c r="M50"/>
  <c r="I79" i="1" s="1"/>
  <c r="L50" i="102"/>
  <c r="G50"/>
  <c r="F50"/>
  <c r="H50" s="1"/>
  <c r="H16"/>
  <c r="H15"/>
  <c r="L3"/>
  <c r="P50" i="101"/>
  <c r="O50"/>
  <c r="N50"/>
  <c r="K78" i="1" s="1"/>
  <c r="U78" s="1"/>
  <c r="M50" i="101"/>
  <c r="I78" i="1" s="1"/>
  <c r="L50" i="101"/>
  <c r="G50"/>
  <c r="F50"/>
  <c r="H15"/>
  <c r="L3"/>
  <c r="H17" i="32"/>
  <c r="H50" i="101" l="1"/>
  <c r="V79" i="1"/>
  <c r="V78"/>
  <c r="P51" i="101"/>
  <c r="T79" i="1"/>
  <c r="T78"/>
  <c r="P51" i="102"/>
  <c r="H4" i="61" l="1"/>
  <c r="M50" i="81"/>
  <c r="H20"/>
  <c r="H18" i="28" l="1"/>
  <c r="H17" i="18"/>
  <c r="H17" i="44"/>
  <c r="H77" i="1"/>
  <c r="G77"/>
  <c r="F77"/>
  <c r="E77"/>
  <c r="M50" i="52"/>
  <c r="I77" i="1" s="1"/>
  <c r="H17" i="28"/>
  <c r="H19" i="81"/>
  <c r="H76" i="1"/>
  <c r="G76"/>
  <c r="F76"/>
  <c r="E76"/>
  <c r="H79" i="24"/>
  <c r="V77" i="1" l="1"/>
  <c r="H75"/>
  <c r="G75"/>
  <c r="F75"/>
  <c r="E75"/>
  <c r="G74"/>
  <c r="F74"/>
  <c r="E74"/>
  <c r="G73"/>
  <c r="F73"/>
  <c r="E73"/>
  <c r="N50" i="18"/>
  <c r="O50"/>
  <c r="P50"/>
  <c r="M50"/>
  <c r="L50"/>
  <c r="Q180" i="1"/>
  <c r="S14"/>
  <c r="S20"/>
  <c r="S22"/>
  <c r="S23"/>
  <c r="S27"/>
  <c r="S28"/>
  <c r="S30"/>
  <c r="S32"/>
  <c r="U35"/>
  <c r="H78" i="24"/>
  <c r="I71" i="1"/>
  <c r="H72"/>
  <c r="H71"/>
  <c r="G72"/>
  <c r="G71"/>
  <c r="F72"/>
  <c r="F71"/>
  <c r="E72"/>
  <c r="E71"/>
  <c r="P50" i="11"/>
  <c r="O50"/>
  <c r="N50"/>
  <c r="M50"/>
  <c r="I72" i="1" s="1"/>
  <c r="L50" i="11"/>
  <c r="G50"/>
  <c r="F50"/>
  <c r="H50" s="1"/>
  <c r="H15"/>
  <c r="H16" s="1"/>
  <c r="H17" s="1"/>
  <c r="H18" s="1"/>
  <c r="H19" s="1"/>
  <c r="H18" i="81"/>
  <c r="V71" i="1" l="1"/>
  <c r="P51" i="11"/>
  <c r="H70" i="1"/>
  <c r="G70"/>
  <c r="F70"/>
  <c r="E70"/>
  <c r="H69"/>
  <c r="G69"/>
  <c r="F69"/>
  <c r="E69"/>
  <c r="G40" i="9"/>
  <c r="F40"/>
  <c r="H33" i="97"/>
  <c r="H34" s="1"/>
  <c r="H77" i="24"/>
  <c r="H4" i="71"/>
  <c r="F67" i="1" l="1"/>
  <c r="G67"/>
  <c r="H4" i="32"/>
  <c r="E67" i="1"/>
  <c r="G66" l="1"/>
  <c r="F66"/>
  <c r="E66"/>
  <c r="D66"/>
  <c r="D61"/>
  <c r="D60"/>
  <c r="D59"/>
  <c r="D58"/>
  <c r="D62" l="1"/>
  <c r="G62"/>
  <c r="G65"/>
  <c r="F65"/>
  <c r="E65"/>
  <c r="H4" i="41"/>
  <c r="H6" s="1"/>
  <c r="H6" i="40"/>
  <c r="H4"/>
  <c r="F62" i="1"/>
  <c r="E62"/>
  <c r="H4" i="78"/>
  <c r="N50" i="81"/>
  <c r="O50"/>
  <c r="I57" i="1"/>
  <c r="H6" i="79"/>
  <c r="H4"/>
  <c r="G58" i="1"/>
  <c r="E58"/>
  <c r="H6" i="33"/>
  <c r="H4"/>
  <c r="L3" i="81"/>
  <c r="M64" i="97"/>
  <c r="N64"/>
  <c r="G56" i="1"/>
  <c r="E56"/>
  <c r="G53" i="17"/>
  <c r="F53"/>
  <c r="F25" i="66" l="1"/>
  <c r="H4" i="59" l="1"/>
  <c r="E36" i="1" l="1"/>
  <c r="H4" i="60"/>
  <c r="H4" i="68"/>
  <c r="O50" i="15" l="1"/>
  <c r="O55" i="39" l="1"/>
  <c r="F61" i="24" l="1"/>
  <c r="G67" i="31" l="1"/>
  <c r="F55" i="1" l="1"/>
  <c r="G55"/>
  <c r="G51" i="98" l="1"/>
  <c r="F51"/>
  <c r="P51"/>
  <c r="O51"/>
  <c r="N51"/>
  <c r="K55" i="1" s="1"/>
  <c r="U55" s="1"/>
  <c r="M51" i="98"/>
  <c r="I55" i="1" s="1"/>
  <c r="L51" i="98"/>
  <c r="H55" i="1" s="1"/>
  <c r="H15" i="98"/>
  <c r="H16" s="1"/>
  <c r="H17" s="1"/>
  <c r="H18" s="1"/>
  <c r="H19" s="1"/>
  <c r="H6"/>
  <c r="V55" i="1" l="1"/>
  <c r="T55"/>
  <c r="H51" i="98"/>
  <c r="P52"/>
  <c r="F17" i="51" l="1"/>
  <c r="F20"/>
  <c r="O51" i="48" l="1"/>
  <c r="M3" i="10" l="1"/>
  <c r="N8" i="31"/>
  <c r="S180" i="1" l="1"/>
  <c r="M180"/>
  <c r="N180"/>
  <c r="O180"/>
  <c r="P180"/>
  <c r="F49" l="1"/>
  <c r="U70"/>
  <c r="U71"/>
  <c r="U76"/>
  <c r="U77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T71"/>
  <c r="T77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M52" i="67" l="1"/>
  <c r="M53" i="70"/>
  <c r="M30" i="73"/>
  <c r="M51" i="75"/>
  <c r="M30" i="76"/>
  <c r="N69" i="77"/>
  <c r="M69"/>
  <c r="M51" i="78"/>
  <c r="M60" i="80"/>
  <c r="M52" i="82"/>
  <c r="M48" i="95"/>
  <c r="M48" i="96"/>
  <c r="H54" i="1" l="1"/>
  <c r="G54"/>
  <c r="F54"/>
  <c r="P64" i="97"/>
  <c r="O64"/>
  <c r="K54" i="1"/>
  <c r="U54" s="1"/>
  <c r="I54"/>
  <c r="L64" i="97"/>
  <c r="G64"/>
  <c r="F64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4"/>
  <c r="H6" s="1"/>
  <c r="V54" i="1" l="1"/>
  <c r="T54"/>
  <c r="H64" i="97"/>
  <c r="P65"/>
  <c r="G53" i="1" l="1"/>
  <c r="G64"/>
  <c r="E64"/>
  <c r="P48" i="96"/>
  <c r="O48"/>
  <c r="N48"/>
  <c r="K53" i="1" s="1"/>
  <c r="U53" s="1"/>
  <c r="I53"/>
  <c r="L48" i="96"/>
  <c r="H53" i="1" s="1"/>
  <c r="G48" i="96"/>
  <c r="F48"/>
  <c r="H15"/>
  <c r="H16" s="1"/>
  <c r="H17" s="1"/>
  <c r="H18" s="1"/>
  <c r="H19" s="1"/>
  <c r="H20" s="1"/>
  <c r="H21" s="1"/>
  <c r="H4"/>
  <c r="H6" s="1"/>
  <c r="P48" i="95"/>
  <c r="O48"/>
  <c r="N48"/>
  <c r="K64" i="1" s="1"/>
  <c r="U64" s="1"/>
  <c r="L48" i="95"/>
  <c r="H64" i="1" s="1"/>
  <c r="G48" i="95"/>
  <c r="F48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4"/>
  <c r="H6" s="1"/>
  <c r="V64" i="1" l="1"/>
  <c r="V53"/>
  <c r="T64"/>
  <c r="T53"/>
  <c r="H48" i="95"/>
  <c r="H48" i="96"/>
  <c r="P49" i="95"/>
  <c r="I64" i="1"/>
  <c r="P49" i="96"/>
  <c r="C5" i="94" l="1"/>
  <c r="D3" s="1"/>
  <c r="B182" i="1"/>
  <c r="D2" i="94" l="1"/>
  <c r="D4"/>
  <c r="D5"/>
  <c r="O69" i="77" l="1"/>
  <c r="P69"/>
  <c r="H102" i="1" l="1"/>
  <c r="G102"/>
  <c r="E102"/>
  <c r="G48" i="92"/>
  <c r="F48"/>
  <c r="P48"/>
  <c r="O48"/>
  <c r="N48"/>
  <c r="K102" i="1" s="1"/>
  <c r="U102" s="1"/>
  <c r="M48" i="92"/>
  <c r="I102" i="1" s="1"/>
  <c r="L48" i="92"/>
  <c r="H15"/>
  <c r="H16" s="1"/>
  <c r="H17" s="1"/>
  <c r="H18" s="1"/>
  <c r="H19" s="1"/>
  <c r="H4"/>
  <c r="H6" s="1"/>
  <c r="H48" l="1"/>
  <c r="V102" i="1"/>
  <c r="P49" i="92"/>
  <c r="M48" i="83" l="1"/>
  <c r="I50" i="1" s="1"/>
  <c r="G59" l="1"/>
  <c r="E59"/>
  <c r="G48" i="91"/>
  <c r="F48"/>
  <c r="P48"/>
  <c r="O48"/>
  <c r="N48"/>
  <c r="K59" i="1" s="1"/>
  <c r="U59" s="1"/>
  <c r="I59"/>
  <c r="L48" i="91"/>
  <c r="H59" i="1" s="1"/>
  <c r="H15" i="91"/>
  <c r="H16" s="1"/>
  <c r="H17" s="1"/>
  <c r="H18" s="1"/>
  <c r="H19" s="1"/>
  <c r="H4"/>
  <c r="H6" s="1"/>
  <c r="V59" i="1" l="1"/>
  <c r="T59"/>
  <c r="H48" i="91"/>
  <c r="P49"/>
  <c r="N78" i="21"/>
  <c r="P78"/>
  <c r="AF54" i="1" l="1"/>
  <c r="AF64"/>
  <c r="AF53"/>
  <c r="AE180"/>
  <c r="AG181" l="1"/>
  <c r="AE9" l="1"/>
  <c r="AI100"/>
  <c r="L57" i="26" l="1"/>
  <c r="L56"/>
  <c r="L58" l="1"/>
  <c r="L59" s="1"/>
  <c r="G103" i="1" l="1"/>
  <c r="E103"/>
  <c r="G48" i="90"/>
  <c r="F48"/>
  <c r="P28"/>
  <c r="O28"/>
  <c r="N28"/>
  <c r="K103" i="1" s="1"/>
  <c r="U103" s="1"/>
  <c r="M28" i="90"/>
  <c r="I103" i="1" s="1"/>
  <c r="L28" i="90"/>
  <c r="H103" i="1" s="1"/>
  <c r="H16" i="90"/>
  <c r="H17" s="1"/>
  <c r="H18" s="1"/>
  <c r="H19" s="1"/>
  <c r="H15"/>
  <c r="H4"/>
  <c r="H6" s="1"/>
  <c r="V103" i="1" l="1"/>
  <c r="H48" i="90"/>
  <c r="P29"/>
  <c r="G108" i="1" l="1"/>
  <c r="G52"/>
  <c r="G51"/>
  <c r="E108"/>
  <c r="G48" i="88"/>
  <c r="F48"/>
  <c r="P28"/>
  <c r="O28"/>
  <c r="N28"/>
  <c r="K52" i="1" s="1"/>
  <c r="U52" s="1"/>
  <c r="M28" i="88"/>
  <c r="I52" i="1" s="1"/>
  <c r="L28" i="88"/>
  <c r="H52" i="1" s="1"/>
  <c r="H15" i="88"/>
  <c r="H16" s="1"/>
  <c r="H17" s="1"/>
  <c r="H4"/>
  <c r="H6" s="1"/>
  <c r="G48" i="89"/>
  <c r="F48"/>
  <c r="P28"/>
  <c r="O28"/>
  <c r="N28"/>
  <c r="K108" i="1" s="1"/>
  <c r="U108" s="1"/>
  <c r="M28" i="89"/>
  <c r="I108" i="1" s="1"/>
  <c r="L28" i="89"/>
  <c r="H15"/>
  <c r="H16" s="1"/>
  <c r="H4"/>
  <c r="H6" s="1"/>
  <c r="G48" i="87"/>
  <c r="F48"/>
  <c r="P28"/>
  <c r="O28"/>
  <c r="N28"/>
  <c r="K51" i="1" s="1"/>
  <c r="U51" s="1"/>
  <c r="M28" i="87"/>
  <c r="L28"/>
  <c r="H51" i="1" s="1"/>
  <c r="H15" i="87"/>
  <c r="H16" s="1"/>
  <c r="H17" s="1"/>
  <c r="H4"/>
  <c r="H6" s="1"/>
  <c r="V52" i="1" l="1"/>
  <c r="T52"/>
  <c r="H48" i="88"/>
  <c r="H48" i="87"/>
  <c r="P29"/>
  <c r="P29" i="89"/>
  <c r="H48"/>
  <c r="P29" i="88"/>
  <c r="H108" i="1"/>
  <c r="I51"/>
  <c r="V51" s="1"/>
  <c r="T51" l="1"/>
  <c r="V108"/>
  <c r="K107"/>
  <c r="U107" s="1"/>
  <c r="H107"/>
  <c r="G107"/>
  <c r="E107"/>
  <c r="G48" i="86"/>
  <c r="F48"/>
  <c r="H48" s="1"/>
  <c r="I107" i="1" s="1"/>
  <c r="P28" i="86"/>
  <c r="O28"/>
  <c r="N28"/>
  <c r="M28"/>
  <c r="L28"/>
  <c r="H15"/>
  <c r="H4"/>
  <c r="H6" s="1"/>
  <c r="P29" l="1"/>
  <c r="V107" i="1"/>
  <c r="K104" l="1"/>
  <c r="U104" s="1"/>
  <c r="H104"/>
  <c r="G104"/>
  <c r="E104"/>
  <c r="G48" i="85"/>
  <c r="F48"/>
  <c r="P28"/>
  <c r="O28"/>
  <c r="N28"/>
  <c r="M28"/>
  <c r="L28"/>
  <c r="H15"/>
  <c r="H16" s="1"/>
  <c r="H4"/>
  <c r="H6" s="1"/>
  <c r="H48" l="1"/>
  <c r="I104" i="1" s="1"/>
  <c r="P29" i="85"/>
  <c r="V104" i="1" l="1"/>
  <c r="K106"/>
  <c r="U106" s="1"/>
  <c r="H106"/>
  <c r="G106"/>
  <c r="E106"/>
  <c r="H4" i="84"/>
  <c r="H6" s="1"/>
  <c r="G48"/>
  <c r="F48"/>
  <c r="P28"/>
  <c r="O28"/>
  <c r="N28"/>
  <c r="M28"/>
  <c r="L28"/>
  <c r="H15"/>
  <c r="H16" s="1"/>
  <c r="H48" l="1"/>
  <c r="I106" i="1" s="1"/>
  <c r="P29" i="84"/>
  <c r="G50" i="1"/>
  <c r="H15" i="83"/>
  <c r="H16" s="1"/>
  <c r="G48"/>
  <c r="F48"/>
  <c r="P48"/>
  <c r="O48"/>
  <c r="N48"/>
  <c r="K50" i="1" s="1"/>
  <c r="U50" s="1"/>
  <c r="L48" i="83"/>
  <c r="H50" i="1" s="1"/>
  <c r="H6" i="83"/>
  <c r="V50" i="1" l="1"/>
  <c r="T50"/>
  <c r="V106"/>
  <c r="P49" i="83"/>
  <c r="H48"/>
  <c r="G49" i="1" l="1"/>
  <c r="L52" i="82"/>
  <c r="H49" i="1" s="1"/>
  <c r="G52" i="82"/>
  <c r="F52"/>
  <c r="P52"/>
  <c r="O52"/>
  <c r="N52"/>
  <c r="K49" i="1" s="1"/>
  <c r="U49" s="1"/>
  <c r="I49"/>
  <c r="H15" i="82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6"/>
  <c r="V49" i="1" l="1"/>
  <c r="T49"/>
  <c r="H52" i="82"/>
  <c r="P53"/>
  <c r="G57" i="1" l="1"/>
  <c r="G48"/>
  <c r="G60"/>
  <c r="G61"/>
  <c r="G47"/>
  <c r="G98"/>
  <c r="G46"/>
  <c r="F48"/>
  <c r="F47"/>
  <c r="F98"/>
  <c r="F46"/>
  <c r="E57"/>
  <c r="G50" i="81"/>
  <c r="F50"/>
  <c r="P50"/>
  <c r="K57" i="1"/>
  <c r="U57" s="1"/>
  <c r="L50" i="81"/>
  <c r="H57" i="1" s="1"/>
  <c r="V57" s="1"/>
  <c r="H15" i="81"/>
  <c r="H16" s="1"/>
  <c r="H17" s="1"/>
  <c r="H6"/>
  <c r="G60" i="80"/>
  <c r="F60"/>
  <c r="P60"/>
  <c r="O60"/>
  <c r="N60"/>
  <c r="K48" i="1" s="1"/>
  <c r="U48" s="1"/>
  <c r="I48"/>
  <c r="L60" i="80"/>
  <c r="H48" i="1" s="1"/>
  <c r="H15" i="80"/>
  <c r="H16" s="1"/>
  <c r="H17" s="1"/>
  <c r="H18" s="1"/>
  <c r="H19" s="1"/>
  <c r="H20" s="1"/>
  <c r="H21" s="1"/>
  <c r="H22" s="1"/>
  <c r="H6"/>
  <c r="V48" i="1" l="1"/>
  <c r="T48"/>
  <c r="T57"/>
  <c r="H23" i="80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0" i="81"/>
  <c r="H60" i="80"/>
  <c r="P51" i="81"/>
  <c r="P61" i="80"/>
  <c r="E60" i="1" l="1"/>
  <c r="E61"/>
  <c r="G67" i="79"/>
  <c r="F67"/>
  <c r="P67"/>
  <c r="O67"/>
  <c r="K60" i="1"/>
  <c r="U60" s="1"/>
  <c r="I60"/>
  <c r="L67" i="79"/>
  <c r="H60" i="1" s="1"/>
  <c r="H15" i="79"/>
  <c r="G51" i="78"/>
  <c r="F51"/>
  <c r="P51"/>
  <c r="O51"/>
  <c r="N51"/>
  <c r="K61" i="1" s="1"/>
  <c r="U61" s="1"/>
  <c r="I61"/>
  <c r="L51" i="78"/>
  <c r="H61" i="1" s="1"/>
  <c r="V61" s="1"/>
  <c r="H15" i="78"/>
  <c r="H16" s="1"/>
  <c r="H17" s="1"/>
  <c r="H18" s="1"/>
  <c r="H19" s="1"/>
  <c r="H6"/>
  <c r="V60" i="1" l="1"/>
  <c r="T61"/>
  <c r="T60"/>
  <c r="H16" i="79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51" i="78"/>
  <c r="H67" i="79"/>
  <c r="P52" i="78"/>
  <c r="P68" i="79"/>
  <c r="E98" i="1" l="1"/>
  <c r="G69" i="77"/>
  <c r="F69"/>
  <c r="K47" i="1"/>
  <c r="U47" s="1"/>
  <c r="I47"/>
  <c r="L69" i="77"/>
  <c r="H47" i="1" s="1"/>
  <c r="H15" i="77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6"/>
  <c r="G50" i="76"/>
  <c r="F50"/>
  <c r="P30"/>
  <c r="O30"/>
  <c r="N30"/>
  <c r="K98" i="1" s="1"/>
  <c r="U98" s="1"/>
  <c r="I98"/>
  <c r="L30" i="76"/>
  <c r="H98" i="1" s="1"/>
  <c r="H15" i="76"/>
  <c r="H16" s="1"/>
  <c r="H17" s="1"/>
  <c r="H18" s="1"/>
  <c r="H19" s="1"/>
  <c r="H20" s="1"/>
  <c r="H21" s="1"/>
  <c r="H22" s="1"/>
  <c r="H23" s="1"/>
  <c r="H24" s="1"/>
  <c r="H6"/>
  <c r="V47" i="1" l="1"/>
  <c r="V98"/>
  <c r="T47"/>
  <c r="H50" i="76"/>
  <c r="T98" i="1"/>
  <c r="H69" i="77"/>
  <c r="P70"/>
  <c r="P31" i="76"/>
  <c r="G51" i="75" l="1"/>
  <c r="F51"/>
  <c r="H51" s="1"/>
  <c r="P51"/>
  <c r="O51"/>
  <c r="N51"/>
  <c r="K46" i="1" s="1"/>
  <c r="U46" s="1"/>
  <c r="I46"/>
  <c r="L51" i="75"/>
  <c r="H46" i="1" s="1"/>
  <c r="H15" i="7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6"/>
  <c r="V46" i="1" l="1"/>
  <c r="T46"/>
  <c r="P52" i="75"/>
  <c r="G50" i="74"/>
  <c r="F50"/>
  <c r="P30"/>
  <c r="O30"/>
  <c r="N30"/>
  <c r="K45" i="1" s="1"/>
  <c r="U45" s="1"/>
  <c r="M30" i="74"/>
  <c r="I45" i="1" s="1"/>
  <c r="L30" i="74"/>
  <c r="H45" i="1" s="1"/>
  <c r="H15" i="74"/>
  <c r="H16" s="1"/>
  <c r="H17" s="1"/>
  <c r="H18" s="1"/>
  <c r="H19" s="1"/>
  <c r="H20" s="1"/>
  <c r="H21" s="1"/>
  <c r="H22" s="1"/>
  <c r="H23" s="1"/>
  <c r="H24" s="1"/>
  <c r="H25" s="1"/>
  <c r="H26" s="1"/>
  <c r="H27" s="1"/>
  <c r="H6"/>
  <c r="G101" i="1"/>
  <c r="F101"/>
  <c r="E101"/>
  <c r="G50" i="73"/>
  <c r="F50"/>
  <c r="P30"/>
  <c r="O30"/>
  <c r="N30"/>
  <c r="K101" i="1" s="1"/>
  <c r="U101" s="1"/>
  <c r="I101"/>
  <c r="H15" i="73"/>
  <c r="H16" s="1"/>
  <c r="H17" s="1"/>
  <c r="H18" s="1"/>
  <c r="H19" s="1"/>
  <c r="H6"/>
  <c r="L30"/>
  <c r="H101" i="1" s="1"/>
  <c r="V45" l="1"/>
  <c r="V101"/>
  <c r="T45"/>
  <c r="H50" i="73"/>
  <c r="T101" i="1"/>
  <c r="P31" i="73"/>
  <c r="H50" i="74"/>
  <c r="P31"/>
  <c r="G44" i="1" l="1"/>
  <c r="F44"/>
  <c r="L3" i="72" l="1"/>
  <c r="L63" s="1"/>
  <c r="H44" i="1" s="1"/>
  <c r="G63" i="72"/>
  <c r="F63"/>
  <c r="K44" i="1"/>
  <c r="U44" s="1"/>
  <c r="I44"/>
  <c r="H15" i="72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6"/>
  <c r="V44" i="1" l="1"/>
  <c r="T44"/>
  <c r="H63" i="72"/>
  <c r="P64"/>
  <c r="M4" i="69" l="1"/>
  <c r="AI71" i="1" l="1"/>
  <c r="AI72" s="1"/>
  <c r="G68" l="1"/>
  <c r="F68"/>
  <c r="E68"/>
  <c r="G43"/>
  <c r="F43"/>
  <c r="G50" i="71"/>
  <c r="F50"/>
  <c r="P50"/>
  <c r="O50"/>
  <c r="N50"/>
  <c r="K68" i="1" s="1"/>
  <c r="U68" s="1"/>
  <c r="L50" i="71"/>
  <c r="H68" i="1" s="1"/>
  <c r="H15" i="7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6"/>
  <c r="G53" i="70"/>
  <c r="F53"/>
  <c r="P53"/>
  <c r="O53"/>
  <c r="N53"/>
  <c r="K43" i="1" s="1"/>
  <c r="U43" s="1"/>
  <c r="I43"/>
  <c r="L53" i="70"/>
  <c r="H43" i="1" s="1"/>
  <c r="H15" i="70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6"/>
  <c r="V43" i="1" l="1"/>
  <c r="T43"/>
  <c r="H53" i="70"/>
  <c r="H50" i="71"/>
  <c r="AI56" i="1"/>
  <c r="P51" i="71"/>
  <c r="I68" i="1"/>
  <c r="V68" s="1"/>
  <c r="P54" i="70"/>
  <c r="T68" i="1" l="1"/>
  <c r="F42"/>
  <c r="G42"/>
  <c r="G53" i="69"/>
  <c r="F53"/>
  <c r="P53"/>
  <c r="O53"/>
  <c r="N53"/>
  <c r="K42" i="1" s="1"/>
  <c r="U42" s="1"/>
  <c r="I42"/>
  <c r="L53" i="69"/>
  <c r="H42" i="1" s="1"/>
  <c r="H15" i="69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6"/>
  <c r="V42" i="1" l="1"/>
  <c r="T42"/>
  <c r="H53" i="69"/>
  <c r="P54"/>
  <c r="N50" i="52" l="1"/>
  <c r="O50"/>
  <c r="P50"/>
  <c r="G41" i="1" l="1"/>
  <c r="G51" i="68"/>
  <c r="F51"/>
  <c r="P51"/>
  <c r="O51"/>
  <c r="N51"/>
  <c r="K41" i="1" s="1"/>
  <c r="U41" s="1"/>
  <c r="M51" i="68"/>
  <c r="I41" i="1" s="1"/>
  <c r="L51" i="68"/>
  <c r="H41" i="1" s="1"/>
  <c r="H15" i="68"/>
  <c r="H16" s="1"/>
  <c r="H6"/>
  <c r="V41" i="1" l="1"/>
  <c r="T41"/>
  <c r="H51" i="68"/>
  <c r="P52"/>
  <c r="G40" i="1" l="1"/>
  <c r="G52" i="67"/>
  <c r="F52"/>
  <c r="P52"/>
  <c r="O52"/>
  <c r="N52"/>
  <c r="K40" i="1" s="1"/>
  <c r="U40" s="1"/>
  <c r="I40"/>
  <c r="L52" i="67"/>
  <c r="H40" i="1" s="1"/>
  <c r="H15" i="67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6"/>
  <c r="V40" i="1" l="1"/>
  <c r="T40"/>
  <c r="H52" i="67"/>
  <c r="P53"/>
  <c r="G15" i="1" l="1"/>
  <c r="E15"/>
  <c r="F50" i="66"/>
  <c r="G50"/>
  <c r="L50"/>
  <c r="I15" i="1"/>
  <c r="N50" i="66"/>
  <c r="K15" i="1" s="1"/>
  <c r="U15" s="1"/>
  <c r="O50" i="66"/>
  <c r="P50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6"/>
  <c r="G81" i="65"/>
  <c r="F81"/>
  <c r="P81"/>
  <c r="O81"/>
  <c r="P82" s="1"/>
  <c r="N81"/>
  <c r="K39" i="1"/>
  <c r="U39" s="1"/>
  <c r="H15" i="6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6"/>
  <c r="M3"/>
  <c r="L3"/>
  <c r="H39" i="1" s="1"/>
  <c r="G50" i="64"/>
  <c r="F50"/>
  <c r="H50" s="1"/>
  <c r="P50"/>
  <c r="O50"/>
  <c r="N50"/>
  <c r="K38" i="1" s="1"/>
  <c r="U38" s="1"/>
  <c r="H15" i="64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6"/>
  <c r="M3"/>
  <c r="L3"/>
  <c r="L50"/>
  <c r="H38" i="1" s="1"/>
  <c r="M5" i="6"/>
  <c r="L163" i="63"/>
  <c r="K161"/>
  <c r="J161"/>
  <c r="I32"/>
  <c r="I161" s="1"/>
  <c r="S13"/>
  <c r="S12"/>
  <c r="S11"/>
  <c r="S10"/>
  <c r="L163" i="62"/>
  <c r="K161"/>
  <c r="J161"/>
  <c r="I32"/>
  <c r="I161" s="1"/>
  <c r="S13"/>
  <c r="S12"/>
  <c r="S11"/>
  <c r="S10"/>
  <c r="L22" i="1"/>
  <c r="L180" s="1"/>
  <c r="N30" i="56"/>
  <c r="H52" i="62" s="1"/>
  <c r="H55" i="63"/>
  <c r="G47" i="61"/>
  <c r="F47"/>
  <c r="H57" i="62"/>
  <c r="H15" i="61"/>
  <c r="H16" s="1"/>
  <c r="H17" s="1"/>
  <c r="H18" s="1"/>
  <c r="H19" s="1"/>
  <c r="H20" s="1"/>
  <c r="H21" s="1"/>
  <c r="M3"/>
  <c r="L3"/>
  <c r="L47" s="1"/>
  <c r="H55" i="62"/>
  <c r="K37" i="1"/>
  <c r="U37" s="1"/>
  <c r="H57" i="63"/>
  <c r="G50" i="60"/>
  <c r="H50" s="1"/>
  <c r="F50"/>
  <c r="P50"/>
  <c r="O50"/>
  <c r="N50"/>
  <c r="K36" i="1" s="1"/>
  <c r="U36" s="1"/>
  <c r="H15" i="60"/>
  <c r="H6"/>
  <c r="M3"/>
  <c r="M50" s="1"/>
  <c r="I36" i="1" s="1"/>
  <c r="L3" i="60"/>
  <c r="L50" s="1"/>
  <c r="H36" i="1" s="1"/>
  <c r="N5" i="22"/>
  <c r="M4" i="58"/>
  <c r="M10" i="54"/>
  <c r="M9" i="26"/>
  <c r="M9" i="54"/>
  <c r="M13" i="48"/>
  <c r="M8" i="55"/>
  <c r="N3" i="58"/>
  <c r="M3"/>
  <c r="M15" i="34"/>
  <c r="G54" i="59"/>
  <c r="F54"/>
  <c r="P54"/>
  <c r="O54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6"/>
  <c r="M8" i="26"/>
  <c r="F50" i="50"/>
  <c r="N12" i="31"/>
  <c r="G66" i="58"/>
  <c r="F66"/>
  <c r="H66" s="1"/>
  <c r="P66"/>
  <c r="O66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6"/>
  <c r="N4"/>
  <c r="L3"/>
  <c r="L66" s="1"/>
  <c r="H34" i="1" s="1"/>
  <c r="O67" i="31"/>
  <c r="M14" i="34"/>
  <c r="M7" i="55"/>
  <c r="M16" i="31"/>
  <c r="M4" i="57"/>
  <c r="M13" i="24"/>
  <c r="M7" i="54"/>
  <c r="H15" i="57"/>
  <c r="H16" s="1"/>
  <c r="H17" s="1"/>
  <c r="G50"/>
  <c r="F50"/>
  <c r="H50" s="1"/>
  <c r="P30"/>
  <c r="O30"/>
  <c r="H6"/>
  <c r="N30"/>
  <c r="M3"/>
  <c r="M30" s="1"/>
  <c r="L30"/>
  <c r="F53" i="63" s="1"/>
  <c r="M15" i="21"/>
  <c r="M17" i="15"/>
  <c r="M6" i="55"/>
  <c r="M13" i="34"/>
  <c r="N7" i="24"/>
  <c r="M12"/>
  <c r="M5" i="55"/>
  <c r="M6" i="54"/>
  <c r="G50" i="56"/>
  <c r="F50"/>
  <c r="P30"/>
  <c r="O30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6"/>
  <c r="L30"/>
  <c r="F52" i="62" s="1"/>
  <c r="M12" i="34"/>
  <c r="N5" i="48"/>
  <c r="M12"/>
  <c r="C12" i="43"/>
  <c r="M4" i="53"/>
  <c r="H15" i="49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M4" i="55"/>
  <c r="M5" i="54"/>
  <c r="M15" i="31"/>
  <c r="M11" i="34"/>
  <c r="F51" i="48"/>
  <c r="F38" i="49"/>
  <c r="F62" i="45"/>
  <c r="M14" i="21"/>
  <c r="F78"/>
  <c r="M16" i="15"/>
  <c r="M9" i="8"/>
  <c r="N10" i="31"/>
  <c r="M4" i="54"/>
  <c r="G55" i="55"/>
  <c r="F55"/>
  <c r="O55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6"/>
  <c r="P55"/>
  <c r="N55"/>
  <c r="K32" i="1" s="1"/>
  <c r="U32" s="1"/>
  <c r="M3" i="55"/>
  <c r="L3"/>
  <c r="L55" s="1"/>
  <c r="M10" i="34"/>
  <c r="N4" i="48"/>
  <c r="M11"/>
  <c r="O30" i="37"/>
  <c r="O50" i="38"/>
  <c r="V182" i="1"/>
  <c r="M3" i="54"/>
  <c r="F87"/>
  <c r="G87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L3"/>
  <c r="L87" s="1"/>
  <c r="N87"/>
  <c r="O87"/>
  <c r="P87"/>
  <c r="H6"/>
  <c r="N6" i="24"/>
  <c r="O3"/>
  <c r="O102" s="1"/>
  <c r="M10" i="48"/>
  <c r="N9" i="31"/>
  <c r="M13" i="21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G38" i="49"/>
  <c r="M9" i="48"/>
  <c r="O50" i="53"/>
  <c r="O62" i="45"/>
  <c r="O50" i="40"/>
  <c r="O50" i="41"/>
  <c r="O43" i="32"/>
  <c r="O3" i="29"/>
  <c r="O50" s="1"/>
  <c r="O3" i="22"/>
  <c r="O51" s="1"/>
  <c r="O3" i="23"/>
  <c r="O30" i="25"/>
  <c r="O3" i="26"/>
  <c r="O51" s="1"/>
  <c r="H3"/>
  <c r="D3"/>
  <c r="H3" i="27"/>
  <c r="D3"/>
  <c r="H60" i="17"/>
  <c r="O3" i="16"/>
  <c r="O29" s="1"/>
  <c r="F23" i="31"/>
  <c r="F67" s="1"/>
  <c r="H67" s="1"/>
  <c r="G62" i="45"/>
  <c r="F39" i="28"/>
  <c r="G39"/>
  <c r="F50" i="2"/>
  <c r="F50" i="7"/>
  <c r="F50" i="6"/>
  <c r="F50" i="8"/>
  <c r="F50" i="10"/>
  <c r="F50" i="15"/>
  <c r="F49" i="16"/>
  <c r="H49" s="1"/>
  <c r="F50" i="18"/>
  <c r="F51" i="27"/>
  <c r="F51" i="26"/>
  <c r="F50" i="25"/>
  <c r="G50"/>
  <c r="H50" s="1"/>
  <c r="F102" i="24"/>
  <c r="G102"/>
  <c r="F50" i="23"/>
  <c r="H50" s="1"/>
  <c r="G50"/>
  <c r="F51" i="22"/>
  <c r="G51"/>
  <c r="F50" i="29"/>
  <c r="G50"/>
  <c r="G78" i="21"/>
  <c r="F50" i="30"/>
  <c r="H50" s="1"/>
  <c r="G50"/>
  <c r="F43" i="32"/>
  <c r="G43"/>
  <c r="F50" i="41"/>
  <c r="H50" s="1"/>
  <c r="G50"/>
  <c r="F50" i="40"/>
  <c r="G50"/>
  <c r="F55" i="39"/>
  <c r="G55"/>
  <c r="F50" i="38"/>
  <c r="G50"/>
  <c r="F50" i="37"/>
  <c r="G50"/>
  <c r="F52" i="36"/>
  <c r="G52"/>
  <c r="F65" i="34"/>
  <c r="H65" s="1"/>
  <c r="G65"/>
  <c r="F50" i="35"/>
  <c r="G50"/>
  <c r="F50" i="33"/>
  <c r="G50"/>
  <c r="F50" i="44"/>
  <c r="G50"/>
  <c r="F54" i="42"/>
  <c r="H54" s="1"/>
  <c r="G54"/>
  <c r="G51" i="48"/>
  <c r="G50" i="50"/>
  <c r="F49" i="51"/>
  <c r="G49"/>
  <c r="F50" i="52"/>
  <c r="G50"/>
  <c r="F50" i="53"/>
  <c r="H50" s="1"/>
  <c r="G50"/>
  <c r="H6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L3"/>
  <c r="L50" s="1"/>
  <c r="F49" i="63" s="1"/>
  <c r="M3" i="53"/>
  <c r="N50"/>
  <c r="K30" i="1" s="1"/>
  <c r="U30" s="1"/>
  <c r="P50" i="53"/>
  <c r="M15" i="15"/>
  <c r="M8" i="34"/>
  <c r="M9"/>
  <c r="M7"/>
  <c r="M14" i="31"/>
  <c r="M14" i="15"/>
  <c r="M6" i="40"/>
  <c r="M6" i="39"/>
  <c r="M6" i="38"/>
  <c r="M6" i="37"/>
  <c r="N7" i="31"/>
  <c r="M13"/>
  <c r="M12" i="21"/>
  <c r="M3"/>
  <c r="M4"/>
  <c r="M5"/>
  <c r="M6"/>
  <c r="M7"/>
  <c r="M8"/>
  <c r="M9"/>
  <c r="M10"/>
  <c r="M11"/>
  <c r="L3" i="52"/>
  <c r="L50" s="1"/>
  <c r="F48" i="63" s="1"/>
  <c r="M10" i="24"/>
  <c r="M13" i="15"/>
  <c r="H15" i="52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M6" i="34"/>
  <c r="N6" i="31"/>
  <c r="M11"/>
  <c r="L4" i="21"/>
  <c r="M10" i="31"/>
  <c r="H15" i="5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N4"/>
  <c r="M4"/>
  <c r="O3"/>
  <c r="O49" s="1"/>
  <c r="P49"/>
  <c r="N3"/>
  <c r="M3"/>
  <c r="L3"/>
  <c r="L49"/>
  <c r="F47" i="62" s="1"/>
  <c r="M5" i="50"/>
  <c r="M4"/>
  <c r="M6"/>
  <c r="O3"/>
  <c r="O50" s="1"/>
  <c r="M7"/>
  <c r="H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M8"/>
  <c r="N50"/>
  <c r="M3"/>
  <c r="L3"/>
  <c r="L50" s="1"/>
  <c r="M4" i="41"/>
  <c r="N5" i="31"/>
  <c r="M9"/>
  <c r="M12" i="15"/>
  <c r="M9"/>
  <c r="N5" i="24"/>
  <c r="M3" i="33"/>
  <c r="M7" i="48"/>
  <c r="M6"/>
  <c r="M5"/>
  <c r="M8"/>
  <c r="M4"/>
  <c r="N3"/>
  <c r="N51" s="1"/>
  <c r="P51"/>
  <c r="M3"/>
  <c r="L3"/>
  <c r="L51" s="1"/>
  <c r="F45" i="63" s="1"/>
  <c r="N3" i="45"/>
  <c r="P62"/>
  <c r="M3"/>
  <c r="L3"/>
  <c r="L62" s="1"/>
  <c r="O3" i="42"/>
  <c r="O54" s="1"/>
  <c r="P54"/>
  <c r="N54"/>
  <c r="M3"/>
  <c r="L54"/>
  <c r="H42" i="63"/>
  <c r="L3" i="44"/>
  <c r="O50" i="33"/>
  <c r="P50"/>
  <c r="N50"/>
  <c r="H41" i="62" s="1"/>
  <c r="L3" i="33"/>
  <c r="L50" s="1"/>
  <c r="O3" i="35"/>
  <c r="O30" s="1"/>
  <c r="N3"/>
  <c r="N30" s="1"/>
  <c r="P30"/>
  <c r="M3"/>
  <c r="M30" s="1"/>
  <c r="L3"/>
  <c r="L30" s="1"/>
  <c r="N65" i="34"/>
  <c r="K25" i="1"/>
  <c r="U25" s="1"/>
  <c r="M5" i="34"/>
  <c r="M4"/>
  <c r="P65"/>
  <c r="O3"/>
  <c r="O65" s="1"/>
  <c r="M3"/>
  <c r="L3"/>
  <c r="L65"/>
  <c r="O3" i="36"/>
  <c r="O52" s="1"/>
  <c r="P52"/>
  <c r="N52"/>
  <c r="H38" i="62" s="1"/>
  <c r="M3" i="36"/>
  <c r="L3"/>
  <c r="L52" s="1"/>
  <c r="F38" i="63" s="1"/>
  <c r="M4" i="37"/>
  <c r="M5"/>
  <c r="P30"/>
  <c r="N30"/>
  <c r="K66" i="1" s="1"/>
  <c r="U66" s="1"/>
  <c r="M3" i="37"/>
  <c r="M30" s="1"/>
  <c r="I66" i="1" s="1"/>
  <c r="L3" i="37"/>
  <c r="L30" s="1"/>
  <c r="M4" i="38"/>
  <c r="M50" s="1"/>
  <c r="G36" i="62" s="1"/>
  <c r="M5" i="38"/>
  <c r="P50"/>
  <c r="N50"/>
  <c r="M3"/>
  <c r="L3"/>
  <c r="L50" s="1"/>
  <c r="M4" i="39"/>
  <c r="M5"/>
  <c r="P55"/>
  <c r="N55"/>
  <c r="M3"/>
  <c r="L3"/>
  <c r="L55" s="1"/>
  <c r="M4" i="40"/>
  <c r="P50"/>
  <c r="N50"/>
  <c r="H34" i="62" s="1"/>
  <c r="M3" i="40"/>
  <c r="L3"/>
  <c r="L50" s="1"/>
  <c r="H62" i="1" s="1"/>
  <c r="P50" i="41"/>
  <c r="N50"/>
  <c r="M3"/>
  <c r="L3"/>
  <c r="L50" s="1"/>
  <c r="M43" i="32"/>
  <c r="I67" i="1" s="1"/>
  <c r="P43" i="32"/>
  <c r="N43"/>
  <c r="H31" i="63" s="1"/>
  <c r="L3" i="32"/>
  <c r="L43" s="1"/>
  <c r="H67" i="1" s="1"/>
  <c r="O4" i="30"/>
  <c r="O30" s="1"/>
  <c r="M4"/>
  <c r="P30"/>
  <c r="N30"/>
  <c r="H30" i="62" s="1"/>
  <c r="M3" i="30"/>
  <c r="L3"/>
  <c r="L30" s="1"/>
  <c r="L3" i="21"/>
  <c r="M6" i="28"/>
  <c r="M5"/>
  <c r="M4"/>
  <c r="P39"/>
  <c r="M3"/>
  <c r="L3"/>
  <c r="L39" s="1"/>
  <c r="F28" i="63" s="1"/>
  <c r="N50" i="29"/>
  <c r="K74" i="1" s="1"/>
  <c r="U74" s="1"/>
  <c r="P50" i="29"/>
  <c r="M3"/>
  <c r="L3"/>
  <c r="L50" s="1"/>
  <c r="M5" i="22"/>
  <c r="N4"/>
  <c r="N3"/>
  <c r="M4"/>
  <c r="P51"/>
  <c r="M3"/>
  <c r="L3"/>
  <c r="L51" s="1"/>
  <c r="O4" i="23"/>
  <c r="M4"/>
  <c r="P30"/>
  <c r="M3"/>
  <c r="L3"/>
  <c r="L30" s="1"/>
  <c r="N3" i="24"/>
  <c r="M7"/>
  <c r="N4"/>
  <c r="M5"/>
  <c r="M4"/>
  <c r="M3"/>
  <c r="L3"/>
  <c r="M3" i="25"/>
  <c r="M30" s="1"/>
  <c r="I100" i="1" s="1"/>
  <c r="P30" i="25"/>
  <c r="N30"/>
  <c r="L4"/>
  <c r="L3"/>
  <c r="M6" i="26"/>
  <c r="M4"/>
  <c r="M5"/>
  <c r="M7"/>
  <c r="P51"/>
  <c r="N51"/>
  <c r="K12" i="1" s="1"/>
  <c r="U12" s="1"/>
  <c r="M3" i="26"/>
  <c r="L3"/>
  <c r="L51" s="1"/>
  <c r="F22" i="62" s="1"/>
  <c r="O4" i="27"/>
  <c r="O3"/>
  <c r="P3"/>
  <c r="P31" s="1"/>
  <c r="N31"/>
  <c r="K18" i="1" s="1"/>
  <c r="U18" s="1"/>
  <c r="M3" i="27"/>
  <c r="M31" s="1"/>
  <c r="L3"/>
  <c r="L31" s="1"/>
  <c r="F21" i="63" s="1"/>
  <c r="P53" i="17"/>
  <c r="L3"/>
  <c r="L53" s="1"/>
  <c r="H56" i="1" s="1"/>
  <c r="K73"/>
  <c r="U73" s="1"/>
  <c r="M3" i="18"/>
  <c r="L3"/>
  <c r="H73" i="1" s="1"/>
  <c r="P29" i="16"/>
  <c r="M3"/>
  <c r="M29" s="1"/>
  <c r="G18" i="63" s="1"/>
  <c r="L3" i="16"/>
  <c r="L29" s="1"/>
  <c r="F18" i="62" s="1"/>
  <c r="M10" i="15"/>
  <c r="M6"/>
  <c r="M5"/>
  <c r="N3"/>
  <c r="M8"/>
  <c r="M4"/>
  <c r="N4"/>
  <c r="P50"/>
  <c r="M7"/>
  <c r="M3"/>
  <c r="L3"/>
  <c r="L50" s="1"/>
  <c r="F17" i="62" s="1"/>
  <c r="M50" i="10"/>
  <c r="O3"/>
  <c r="P50"/>
  <c r="J16" i="1" s="1"/>
  <c r="J180" s="1"/>
  <c r="L3" i="10"/>
  <c r="L50" s="1"/>
  <c r="N40" i="9"/>
  <c r="H14" i="63" s="1"/>
  <c r="P40" i="9"/>
  <c r="M3"/>
  <c r="L3"/>
  <c r="L40" s="1"/>
  <c r="M7" i="8"/>
  <c r="M6"/>
  <c r="M8"/>
  <c r="M5"/>
  <c r="M4"/>
  <c r="O3"/>
  <c r="O50" s="1"/>
  <c r="P50"/>
  <c r="N3"/>
  <c r="N50" s="1"/>
  <c r="M3"/>
  <c r="L3"/>
  <c r="L50" s="1"/>
  <c r="M6" i="6"/>
  <c r="O3"/>
  <c r="M4"/>
  <c r="M3"/>
  <c r="L5"/>
  <c r="P50"/>
  <c r="N50"/>
  <c r="H12" i="63" s="1"/>
  <c r="L4" i="6"/>
  <c r="L3"/>
  <c r="M4" i="7"/>
  <c r="N3"/>
  <c r="M30"/>
  <c r="G11" i="63" s="1"/>
  <c r="O4" i="7"/>
  <c r="O3"/>
  <c r="L4"/>
  <c r="P30"/>
  <c r="M3"/>
  <c r="L3"/>
  <c r="M50" i="2"/>
  <c r="G10" i="63" s="1"/>
  <c r="P50" i="2"/>
  <c r="N50"/>
  <c r="H10" i="62" s="1"/>
  <c r="O50" i="2"/>
  <c r="L50"/>
  <c r="N4" i="31"/>
  <c r="N3"/>
  <c r="M8"/>
  <c r="M7"/>
  <c r="M6"/>
  <c r="M5"/>
  <c r="M4"/>
  <c r="M3"/>
  <c r="L4"/>
  <c r="L67" s="1"/>
  <c r="F32" i="62" s="1"/>
  <c r="L3" i="31"/>
  <c r="H15" i="48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15" i="47"/>
  <c r="H16" s="1"/>
  <c r="H17" s="1"/>
  <c r="H18" s="1"/>
  <c r="H19" s="1"/>
  <c r="H20" s="1"/>
  <c r="H21" s="1"/>
  <c r="H22" s="1"/>
  <c r="H23" s="1"/>
  <c r="F50"/>
  <c r="G50"/>
  <c r="H15" i="45"/>
  <c r="H16" s="1"/>
  <c r="H15" i="44"/>
  <c r="H16" s="1"/>
  <c r="B5" i="43"/>
  <c r="G51" i="26"/>
  <c r="G51" i="27"/>
  <c r="G50" i="18"/>
  <c r="H50" s="1"/>
  <c r="G49" i="16"/>
  <c r="G50" i="15"/>
  <c r="G50" i="10"/>
  <c r="G50" i="8"/>
  <c r="G50" i="6"/>
  <c r="G50" i="7"/>
  <c r="G50" i="2"/>
  <c r="H15" i="42"/>
  <c r="H16" s="1"/>
  <c r="H17" s="1"/>
  <c r="H18" s="1"/>
  <c r="H19" s="1"/>
  <c r="H15" i="17"/>
  <c r="H16" s="1"/>
  <c r="H17" s="1"/>
  <c r="H18" s="1"/>
  <c r="H19" s="1"/>
  <c r="H20" s="1"/>
  <c r="H15" i="15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15" i="18"/>
  <c r="H16" s="1"/>
  <c r="H15" i="33"/>
  <c r="H16" s="1"/>
  <c r="H17" s="1"/>
  <c r="H18" s="1"/>
  <c r="H19" s="1"/>
  <c r="H20" s="1"/>
  <c r="H15" i="35"/>
  <c r="H16" s="1"/>
  <c r="H17" s="1"/>
  <c r="H18" s="1"/>
  <c r="H19" s="1"/>
  <c r="H20" s="1"/>
  <c r="H21" s="1"/>
  <c r="H22" s="1"/>
  <c r="H23" s="1"/>
  <c r="H24" s="1"/>
  <c r="H15" i="31"/>
  <c r="H16" s="1"/>
  <c r="H17" s="1"/>
  <c r="H18" s="1"/>
  <c r="H19" s="1"/>
  <c r="H20" s="1"/>
  <c r="H21" s="1"/>
  <c r="H22" s="1"/>
  <c r="H15" i="34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15" i="26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15" i="36"/>
  <c r="H16" s="1"/>
  <c r="H17" s="1"/>
  <c r="H18" s="1"/>
  <c r="H19" s="1"/>
  <c r="H20" s="1"/>
  <c r="H21" s="1"/>
  <c r="H22" s="1"/>
  <c r="H23" s="1"/>
  <c r="H24" s="1"/>
  <c r="H15" i="24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15" i="25"/>
  <c r="H16" s="1"/>
  <c r="H17" s="1"/>
  <c r="H18" s="1"/>
  <c r="H19" s="1"/>
  <c r="H20" s="1"/>
  <c r="H15" i="37"/>
  <c r="H16" s="1"/>
  <c r="H17" s="1"/>
  <c r="H18" s="1"/>
  <c r="H19" s="1"/>
  <c r="H20" s="1"/>
  <c r="H21" s="1"/>
  <c r="H22" s="1"/>
  <c r="H15" i="38"/>
  <c r="H16" s="1"/>
  <c r="H17" s="1"/>
  <c r="H18" s="1"/>
  <c r="H19" s="1"/>
  <c r="H20" s="1"/>
  <c r="H21" s="1"/>
  <c r="H22" s="1"/>
  <c r="H15" i="39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15" i="40"/>
  <c r="H16" s="1"/>
  <c r="H17" s="1"/>
  <c r="H18" s="1"/>
  <c r="H19" s="1"/>
  <c r="H20" s="1"/>
  <c r="H21" s="1"/>
  <c r="H22" s="1"/>
  <c r="H23" s="1"/>
  <c r="H24" s="1"/>
  <c r="H25" s="1"/>
  <c r="H26" s="1"/>
  <c r="H15" i="30"/>
  <c r="H16" s="1"/>
  <c r="H17" s="1"/>
  <c r="H18" s="1"/>
  <c r="H19" s="1"/>
  <c r="H20" s="1"/>
  <c r="H15" i="41"/>
  <c r="H16" s="1"/>
  <c r="H17" s="1"/>
  <c r="H15" i="32"/>
  <c r="H16" s="1"/>
  <c r="H15" i="29"/>
  <c r="H16" s="1"/>
  <c r="H15" i="28"/>
  <c r="H16" s="1"/>
  <c r="H15" i="22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15" i="23"/>
  <c r="H16" s="1"/>
  <c r="H17" s="1"/>
  <c r="H18"/>
  <c r="H19" s="1"/>
  <c r="H20" s="1"/>
  <c r="H15" i="16"/>
  <c r="H16" s="1"/>
  <c r="H17" s="1"/>
  <c r="H18" s="1"/>
  <c r="H19" s="1"/>
  <c r="H20" s="1"/>
  <c r="H21" s="1"/>
  <c r="H22" s="1"/>
  <c r="H23" s="1"/>
  <c r="H15" i="10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15" i="9"/>
  <c r="H16" s="1"/>
  <c r="H15" i="8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15" i="7"/>
  <c r="H16" s="1"/>
  <c r="H17" s="1"/>
  <c r="H18" s="1"/>
  <c r="H19" s="1"/>
  <c r="H20" s="1"/>
  <c r="H21" s="1"/>
  <c r="H22" s="1"/>
  <c r="H23" s="1"/>
  <c r="H15" i="27"/>
  <c r="H16" s="1"/>
  <c r="H17" s="1"/>
  <c r="H18" s="1"/>
  <c r="H19" s="1"/>
  <c r="H20" s="1"/>
  <c r="H21" s="1"/>
  <c r="H22" s="1"/>
  <c r="H15" i="6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15" i="2"/>
  <c r="H16" s="1"/>
  <c r="H17" s="1"/>
  <c r="H18" s="1"/>
  <c r="H19" s="1"/>
  <c r="P67" i="31"/>
  <c r="K28" i="1"/>
  <c r="U28" s="1"/>
  <c r="N29" i="16"/>
  <c r="H18" i="63" s="1"/>
  <c r="N30" i="23"/>
  <c r="H25" i="63" s="1"/>
  <c r="M52" i="36"/>
  <c r="I24" i="1" s="1"/>
  <c r="L50" i="44"/>
  <c r="F42" i="63" s="1"/>
  <c r="M54" i="42"/>
  <c r="G43" i="62" s="1"/>
  <c r="M30" i="56"/>
  <c r="I33" i="1" s="1"/>
  <c r="F42" i="49"/>
  <c r="F18" i="63"/>
  <c r="H11" i="1"/>
  <c r="H31" i="62"/>
  <c r="F39"/>
  <c r="F39" i="63"/>
  <c r="H25" i="1"/>
  <c r="H43" i="63"/>
  <c r="H43" i="62"/>
  <c r="H45"/>
  <c r="H45" i="63"/>
  <c r="K96" i="1"/>
  <c r="U96" s="1"/>
  <c r="K11"/>
  <c r="U11" s="1"/>
  <c r="H23" i="63"/>
  <c r="H23" i="62"/>
  <c r="K100" i="1"/>
  <c r="U100" s="1"/>
  <c r="F34" i="63"/>
  <c r="F34" i="62"/>
  <c r="H37"/>
  <c r="K27" i="1"/>
  <c r="U27" s="1"/>
  <c r="F47" i="63"/>
  <c r="H22"/>
  <c r="H22" i="62"/>
  <c r="H33"/>
  <c r="H33" i="63"/>
  <c r="K23" i="1"/>
  <c r="U23" s="1"/>
  <c r="H35" i="62"/>
  <c r="H35" i="63"/>
  <c r="H36"/>
  <c r="H36" i="62"/>
  <c r="H39" i="63"/>
  <c r="H39" i="62"/>
  <c r="H46"/>
  <c r="H46" i="63"/>
  <c r="K105" i="1"/>
  <c r="U105" s="1"/>
  <c r="H53" i="63"/>
  <c r="H53" i="62"/>
  <c r="H29"/>
  <c r="H29" i="63"/>
  <c r="K21" i="1"/>
  <c r="U21" s="1"/>
  <c r="H51" i="22"/>
  <c r="H48" i="63"/>
  <c r="H48" i="62"/>
  <c r="F10" i="63"/>
  <c r="G52"/>
  <c r="G52" i="62"/>
  <c r="K13" i="1"/>
  <c r="U13" s="1"/>
  <c r="O50" i="6"/>
  <c r="H50" i="56"/>
  <c r="K97" i="1"/>
  <c r="U97" s="1"/>
  <c r="K65"/>
  <c r="U65" s="1"/>
  <c r="V36" l="1"/>
  <c r="V38"/>
  <c r="H26" i="42"/>
  <c r="H27" s="1"/>
  <c r="H28" s="1"/>
  <c r="H29" s="1"/>
  <c r="H30" s="1"/>
  <c r="H20"/>
  <c r="H21" s="1"/>
  <c r="H22" s="1"/>
  <c r="H23" s="1"/>
  <c r="H24" s="1"/>
  <c r="H25" s="1"/>
  <c r="K75" i="1"/>
  <c r="H42" i="62"/>
  <c r="M47" i="61"/>
  <c r="G57" i="63" s="1"/>
  <c r="G31"/>
  <c r="G42" i="62"/>
  <c r="I75" i="1"/>
  <c r="H62" i="45"/>
  <c r="H50" i="29"/>
  <c r="F19" i="63"/>
  <c r="T33" i="1"/>
  <c r="T36"/>
  <c r="P51" i="2"/>
  <c r="H50"/>
  <c r="N39" i="28"/>
  <c r="H28" i="62" s="1"/>
  <c r="H96" i="1"/>
  <c r="F25" i="62"/>
  <c r="F25" i="63"/>
  <c r="P51" i="38"/>
  <c r="F53" i="62"/>
  <c r="K62" i="1"/>
  <c r="U62" s="1"/>
  <c r="F19" i="62"/>
  <c r="T67" i="1"/>
  <c r="K33"/>
  <c r="U33" s="1"/>
  <c r="H37" i="63"/>
  <c r="H10"/>
  <c r="L10" s="1"/>
  <c r="N10" s="1"/>
  <c r="H19" i="62"/>
  <c r="F45"/>
  <c r="H34" i="63"/>
  <c r="F42" i="62"/>
  <c r="H23" i="3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2" s="1"/>
  <c r="H51" s="1"/>
  <c r="H53" s="1"/>
  <c r="H54" s="1"/>
  <c r="H55" s="1"/>
  <c r="H56" s="1"/>
  <c r="L30" i="7"/>
  <c r="F11" i="63" s="1"/>
  <c r="M51" i="26"/>
  <c r="G22" i="62" s="1"/>
  <c r="L22" s="1"/>
  <c r="N22" s="1"/>
  <c r="O30" i="23"/>
  <c r="H51" i="48"/>
  <c r="H50" i="50"/>
  <c r="M50" i="15"/>
  <c r="I17" i="1" s="1"/>
  <c r="H105"/>
  <c r="F20" i="63"/>
  <c r="N15" i="31"/>
  <c r="N67" s="1"/>
  <c r="G10" i="62"/>
  <c r="K67" i="1"/>
  <c r="U67" s="1"/>
  <c r="S14" i="62"/>
  <c r="O40" i="9"/>
  <c r="H51" i="62"/>
  <c r="H51" i="63"/>
  <c r="H25" i="62"/>
  <c r="H56"/>
  <c r="G33"/>
  <c r="H74" i="1"/>
  <c r="F27" i="63"/>
  <c r="F27" i="62"/>
  <c r="F26"/>
  <c r="F26" i="63"/>
  <c r="H20" i="1"/>
  <c r="P31" i="37"/>
  <c r="H66" i="1"/>
  <c r="V66" s="1"/>
  <c r="F37" i="63"/>
  <c r="F37" i="62"/>
  <c r="H26" i="1"/>
  <c r="F40" i="63"/>
  <c r="F40" i="62"/>
  <c r="P31" i="35"/>
  <c r="K26" i="1"/>
  <c r="U26" s="1"/>
  <c r="H40" i="62"/>
  <c r="H40" i="63"/>
  <c r="L40" s="1"/>
  <c r="N40" s="1"/>
  <c r="G40"/>
  <c r="I26" i="1"/>
  <c r="G40" i="62"/>
  <c r="G21"/>
  <c r="G21" i="63"/>
  <c r="I18" i="1"/>
  <c r="F43" i="63"/>
  <c r="H54" i="59"/>
  <c r="P31" i="56"/>
  <c r="F52" i="63"/>
  <c r="K72" i="1"/>
  <c r="V72" s="1"/>
  <c r="H41" i="63"/>
  <c r="F50" i="62"/>
  <c r="F48"/>
  <c r="F22" i="63"/>
  <c r="G38" i="62"/>
  <c r="F43"/>
  <c r="L43" s="1"/>
  <c r="N43" s="1"/>
  <c r="F36"/>
  <c r="F21"/>
  <c r="G36" i="63"/>
  <c r="N50" i="15"/>
  <c r="P51" s="1"/>
  <c r="N51" i="22"/>
  <c r="K20" i="1" s="1"/>
  <c r="U20" s="1"/>
  <c r="G27" i="62"/>
  <c r="K58" i="1"/>
  <c r="U58" s="1"/>
  <c r="P51" i="44"/>
  <c r="F10" i="62"/>
  <c r="H18" i="1"/>
  <c r="M30" i="23"/>
  <c r="G25" i="62" s="1"/>
  <c r="M65" i="34"/>
  <c r="P66" s="1"/>
  <c r="H50" i="38"/>
  <c r="M87" i="54"/>
  <c r="G50" i="63" s="1"/>
  <c r="N66" i="58"/>
  <c r="K34" i="1" s="1"/>
  <c r="U34" s="1"/>
  <c r="H14" i="62"/>
  <c r="H27" i="63"/>
  <c r="H49" i="62"/>
  <c r="H12" i="1"/>
  <c r="K99"/>
  <c r="U99" s="1"/>
  <c r="H18" i="62"/>
  <c r="H50" i="8"/>
  <c r="L78" i="21"/>
  <c r="F29" i="62" s="1"/>
  <c r="H52" i="63"/>
  <c r="H47" i="61"/>
  <c r="G42" i="63"/>
  <c r="L42" s="1"/>
  <c r="N42" s="1"/>
  <c r="H27" i="62"/>
  <c r="H49" i="63"/>
  <c r="H30"/>
  <c r="F54" i="62"/>
  <c r="L18" i="63"/>
  <c r="N18" s="1"/>
  <c r="H50" i="33"/>
  <c r="H50" i="37"/>
  <c r="H20" i="62"/>
  <c r="K56" i="1"/>
  <c r="U56" s="1"/>
  <c r="F50" i="63"/>
  <c r="K24" i="1"/>
  <c r="U24" s="1"/>
  <c r="F54" i="63"/>
  <c r="H50" i="62"/>
  <c r="H38" i="63"/>
  <c r="H50"/>
  <c r="H19"/>
  <c r="H50" i="47"/>
  <c r="O30" i="7"/>
  <c r="M50" i="8"/>
  <c r="M50" i="33"/>
  <c r="I58" i="1" s="1"/>
  <c r="H20" i="63"/>
  <c r="F41"/>
  <c r="H58" i="1"/>
  <c r="F41" i="62"/>
  <c r="F51"/>
  <c r="F51" i="63"/>
  <c r="H32" i="1"/>
  <c r="F44" i="63"/>
  <c r="F44" i="62"/>
  <c r="H65" i="1"/>
  <c r="F33" i="63"/>
  <c r="F33" i="62"/>
  <c r="H16"/>
  <c r="H16" i="63"/>
  <c r="G53"/>
  <c r="L53" s="1"/>
  <c r="G53" i="62"/>
  <c r="L53" s="1"/>
  <c r="I105" i="1"/>
  <c r="P31" i="57"/>
  <c r="H99" i="1"/>
  <c r="F30" i="62"/>
  <c r="F30" i="63"/>
  <c r="N102" i="24"/>
  <c r="H24" i="62" s="1"/>
  <c r="M55" i="55"/>
  <c r="H56" i="63"/>
  <c r="S14"/>
  <c r="G38"/>
  <c r="I97" i="1"/>
  <c r="O39" i="28"/>
  <c r="P52" i="48"/>
  <c r="H50" i="40"/>
  <c r="L52" i="62"/>
  <c r="M78" i="21"/>
  <c r="L30" i="25"/>
  <c r="H100" i="1" s="1"/>
  <c r="V100" s="1"/>
  <c r="M50" i="40"/>
  <c r="P51" s="1"/>
  <c r="H50" i="44"/>
  <c r="M66" i="58"/>
  <c r="M102" i="24"/>
  <c r="I19" i="1" s="1"/>
  <c r="M51" i="22"/>
  <c r="L102" i="24"/>
  <c r="F24" i="63" s="1"/>
  <c r="L36" i="62"/>
  <c r="N36" s="1"/>
  <c r="I56" i="1"/>
  <c r="O31" i="27"/>
  <c r="P32" s="1"/>
  <c r="M30" i="30"/>
  <c r="G30" i="62" s="1"/>
  <c r="L30" s="1"/>
  <c r="N30" s="1"/>
  <c r="M55" i="39"/>
  <c r="F40" i="49"/>
  <c r="F56" i="63"/>
  <c r="H50" i="7"/>
  <c r="L52" i="63"/>
  <c r="G55"/>
  <c r="I35" i="1"/>
  <c r="H51" i="26"/>
  <c r="N30" i="7"/>
  <c r="H11" i="63" s="1"/>
  <c r="H78" i="21"/>
  <c r="H51" i="27"/>
  <c r="H81" i="65"/>
  <c r="F38" i="62"/>
  <c r="P53" i="36"/>
  <c r="H24" i="1"/>
  <c r="G18" i="62"/>
  <c r="I11" i="1"/>
  <c r="T11" s="1"/>
  <c r="P30" i="16"/>
  <c r="H50" i="35"/>
  <c r="H50" i="15"/>
  <c r="H50" i="66"/>
  <c r="M50" i="64"/>
  <c r="I38" i="1" s="1"/>
  <c r="L38" i="63"/>
  <c r="N38" s="1"/>
  <c r="H29" i="1"/>
  <c r="H49" i="51"/>
  <c r="M49"/>
  <c r="N49"/>
  <c r="H55" i="55"/>
  <c r="H30" i="1"/>
  <c r="F49" i="62"/>
  <c r="M50" i="53"/>
  <c r="P51" s="1"/>
  <c r="H28" i="1"/>
  <c r="F46" i="63"/>
  <c r="F46" i="62"/>
  <c r="H50" i="10"/>
  <c r="F15" i="63"/>
  <c r="H16" i="1"/>
  <c r="F15" i="62"/>
  <c r="P88" i="54"/>
  <c r="T72" i="1"/>
  <c r="F13" i="63"/>
  <c r="H14" i="1"/>
  <c r="F13" i="62"/>
  <c r="P31" i="30"/>
  <c r="H11" i="62"/>
  <c r="F17" i="63"/>
  <c r="H17" i="1"/>
  <c r="H21" i="63"/>
  <c r="H21" i="62"/>
  <c r="L21" s="1"/>
  <c r="N21" s="1"/>
  <c r="I96" i="1"/>
  <c r="G25" i="63"/>
  <c r="F36"/>
  <c r="H97" i="1"/>
  <c r="V97" s="1"/>
  <c r="G37" i="63"/>
  <c r="G37" i="62"/>
  <c r="N62" i="45"/>
  <c r="G11" i="62"/>
  <c r="I10" i="1"/>
  <c r="H12" i="62"/>
  <c r="P31" i="25"/>
  <c r="F23" i="62"/>
  <c r="L23" s="1"/>
  <c r="N23" s="1"/>
  <c r="K14" i="1"/>
  <c r="U14" s="1"/>
  <c r="H13" i="63"/>
  <c r="H13" i="62"/>
  <c r="G23" i="63"/>
  <c r="G23" i="62"/>
  <c r="P55" i="42"/>
  <c r="G31" i="62"/>
  <c r="G43" i="63"/>
  <c r="F23"/>
  <c r="H22" i="1"/>
  <c r="F32" i="63"/>
  <c r="G17"/>
  <c r="G17" i="62"/>
  <c r="F20"/>
  <c r="H37" i="1"/>
  <c r="F57" i="63"/>
  <c r="F57" i="62"/>
  <c r="F56"/>
  <c r="P51" i="60"/>
  <c r="P51" i="66"/>
  <c r="H15" i="1"/>
  <c r="V15" s="1"/>
  <c r="M67" i="31"/>
  <c r="L50" i="6"/>
  <c r="N50" i="10"/>
  <c r="K16" i="1" s="1"/>
  <c r="U16" s="1"/>
  <c r="O53" i="17"/>
  <c r="H27" i="1"/>
  <c r="H38" i="49"/>
  <c r="M50" i="50"/>
  <c r="P51" s="1"/>
  <c r="H52" i="36"/>
  <c r="G56" i="62"/>
  <c r="G56" i="63"/>
  <c r="L54" i="59"/>
  <c r="F55" i="63" s="1"/>
  <c r="I39" i="1"/>
  <c r="V39" s="1"/>
  <c r="H87" i="54"/>
  <c r="M50" i="6"/>
  <c r="G12" i="62" s="1"/>
  <c r="G16"/>
  <c r="M62" i="45"/>
  <c r="H50" i="6"/>
  <c r="K69" i="1"/>
  <c r="U69" s="1"/>
  <c r="F14" i="63"/>
  <c r="F14" i="62"/>
  <c r="I69" i="1"/>
  <c r="F28" i="62"/>
  <c r="H39" i="28"/>
  <c r="F16" i="63"/>
  <c r="F16" i="62"/>
  <c r="P44" i="32"/>
  <c r="F31" i="63"/>
  <c r="F31" i="62"/>
  <c r="H43" i="32"/>
  <c r="H19" i="1"/>
  <c r="H102" i="24"/>
  <c r="F35" i="63"/>
  <c r="F35" i="62"/>
  <c r="H23" i="1"/>
  <c r="H55" i="39"/>
  <c r="H21" i="1"/>
  <c r="F29" i="63"/>
  <c r="G35" i="62"/>
  <c r="P56" i="39"/>
  <c r="G55" i="62"/>
  <c r="G15" i="63"/>
  <c r="I16" i="1"/>
  <c r="G15" i="62"/>
  <c r="P51" i="10"/>
  <c r="H50" i="52"/>
  <c r="L36" i="63" l="1"/>
  <c r="N36" s="1"/>
  <c r="V96" i="1"/>
  <c r="V56"/>
  <c r="V67"/>
  <c r="V16"/>
  <c r="V33"/>
  <c r="V24"/>
  <c r="V58"/>
  <c r="V26"/>
  <c r="V18"/>
  <c r="V11"/>
  <c r="V69"/>
  <c r="G44" i="63"/>
  <c r="I76" i="1"/>
  <c r="U75"/>
  <c r="V75"/>
  <c r="L50" i="63"/>
  <c r="T100" i="1"/>
  <c r="U72"/>
  <c r="T56"/>
  <c r="T75"/>
  <c r="G57" i="62"/>
  <c r="L57" s="1"/>
  <c r="I37" i="1"/>
  <c r="V37" s="1"/>
  <c r="P48" i="61"/>
  <c r="L31" i="63"/>
  <c r="N31" s="1"/>
  <c r="L42" i="62"/>
  <c r="N42" s="1"/>
  <c r="G28"/>
  <c r="L28" s="1"/>
  <c r="N28" s="1"/>
  <c r="I70" i="1"/>
  <c r="V70" s="1"/>
  <c r="L27" i="62"/>
  <c r="N27" s="1"/>
  <c r="T38" i="1"/>
  <c r="T39"/>
  <c r="T15"/>
  <c r="T16"/>
  <c r="T26"/>
  <c r="T58"/>
  <c r="T18"/>
  <c r="T66"/>
  <c r="T19"/>
  <c r="T17"/>
  <c r="T24"/>
  <c r="V105"/>
  <c r="P51" i="41"/>
  <c r="H28" i="63"/>
  <c r="G28"/>
  <c r="P40" i="28"/>
  <c r="L22" i="63"/>
  <c r="N22" s="1"/>
  <c r="F11" i="62"/>
  <c r="L11" s="1"/>
  <c r="N11" s="1"/>
  <c r="G39" i="63"/>
  <c r="L39" s="1"/>
  <c r="N39" s="1"/>
  <c r="L43"/>
  <c r="N43" s="1"/>
  <c r="L25"/>
  <c r="N25" s="1"/>
  <c r="I25" i="1"/>
  <c r="V25" s="1"/>
  <c r="L18" i="62"/>
  <c r="N18" s="1"/>
  <c r="H10" i="1"/>
  <c r="P51" i="29"/>
  <c r="L21" i="63"/>
  <c r="N21" s="1"/>
  <c r="G30"/>
  <c r="L30" s="1"/>
  <c r="N30" s="1"/>
  <c r="G22"/>
  <c r="C7" i="43"/>
  <c r="P52" i="26"/>
  <c r="L11" i="63"/>
  <c r="N11" s="1"/>
  <c r="K17" i="1"/>
  <c r="U17" s="1"/>
  <c r="I74"/>
  <c r="L10" i="62"/>
  <c r="N10" s="1"/>
  <c r="P31" i="7"/>
  <c r="G39" i="62"/>
  <c r="L39" s="1"/>
  <c r="N39" s="1"/>
  <c r="H26"/>
  <c r="G27" i="63"/>
  <c r="L27" s="1"/>
  <c r="N27" s="1"/>
  <c r="G50" i="62"/>
  <c r="L50" s="1"/>
  <c r="G16" i="63"/>
  <c r="I12" i="1"/>
  <c r="T12" s="1"/>
  <c r="P31" i="23"/>
  <c r="H26" i="63"/>
  <c r="L56"/>
  <c r="L25" i="62"/>
  <c r="N25" s="1"/>
  <c r="I65" i="1"/>
  <c r="T65" s="1"/>
  <c r="L33" i="62"/>
  <c r="N33" s="1"/>
  <c r="G33" i="63"/>
  <c r="L33" s="1"/>
  <c r="N33" s="1"/>
  <c r="G34"/>
  <c r="L34" s="1"/>
  <c r="N34" s="1"/>
  <c r="G20"/>
  <c r="L20" s="1"/>
  <c r="N20" s="1"/>
  <c r="G20" i="62"/>
  <c r="L20" s="1"/>
  <c r="N20" s="1"/>
  <c r="P51" i="33"/>
  <c r="L37" i="63"/>
  <c r="N37" s="1"/>
  <c r="I99" i="1"/>
  <c r="V99" s="1"/>
  <c r="L38" i="62"/>
  <c r="N38" s="1"/>
  <c r="H54"/>
  <c r="I30" i="1"/>
  <c r="T30" s="1"/>
  <c r="L37" i="62"/>
  <c r="N37" s="1"/>
  <c r="P79" i="21"/>
  <c r="W21" i="1" s="1"/>
  <c r="H54" i="63"/>
  <c r="G41" i="62"/>
  <c r="L41" s="1"/>
  <c r="N41" s="1"/>
  <c r="G12" i="63"/>
  <c r="G49"/>
  <c r="L49" s="1"/>
  <c r="I13" i="1"/>
  <c r="L31" i="62"/>
  <c r="N31" s="1"/>
  <c r="F24"/>
  <c r="G41" i="63"/>
  <c r="L41" s="1"/>
  <c r="N41" s="1"/>
  <c r="L40" i="62"/>
  <c r="N40" s="1"/>
  <c r="H17"/>
  <c r="L17" s="1"/>
  <c r="N17" s="1"/>
  <c r="H17" i="63"/>
  <c r="P51" i="6"/>
  <c r="F55" i="62"/>
  <c r="L55" s="1"/>
  <c r="L16" i="63"/>
  <c r="N16" s="1"/>
  <c r="K10" i="1"/>
  <c r="U10" s="1"/>
  <c r="L56" i="62"/>
  <c r="P54" i="17"/>
  <c r="G54" i="62"/>
  <c r="L54" s="1"/>
  <c r="G54" i="63"/>
  <c r="P67" i="58"/>
  <c r="I34" i="1"/>
  <c r="V34" s="1"/>
  <c r="L16" i="62"/>
  <c r="N16" s="1"/>
  <c r="G35" i="63"/>
  <c r="L35" s="1"/>
  <c r="N35" s="1"/>
  <c r="I23" i="1"/>
  <c r="T23" s="1"/>
  <c r="G26" i="62"/>
  <c r="L26" s="1"/>
  <c r="N26" s="1"/>
  <c r="P52" i="22"/>
  <c r="G26" i="63"/>
  <c r="L26" s="1"/>
  <c r="N26" s="1"/>
  <c r="I20" i="1"/>
  <c r="V20" s="1"/>
  <c r="P55" i="59"/>
  <c r="H35" i="1"/>
  <c r="V35" s="1"/>
  <c r="L23" i="63"/>
  <c r="N23" s="1"/>
  <c r="I62" i="1"/>
  <c r="V62" s="1"/>
  <c r="G34" i="62"/>
  <c r="L34" s="1"/>
  <c r="N34" s="1"/>
  <c r="L55" i="63"/>
  <c r="P51" i="64"/>
  <c r="H32" i="62"/>
  <c r="K22" i="1"/>
  <c r="U22" s="1"/>
  <c r="H32" i="63"/>
  <c r="I29" i="1"/>
  <c r="G47" i="62"/>
  <c r="G47" i="63"/>
  <c r="P50" i="51"/>
  <c r="H47" i="63"/>
  <c r="H47" i="62"/>
  <c r="K29" i="1"/>
  <c r="U29" s="1"/>
  <c r="G49" i="62"/>
  <c r="L49" s="1"/>
  <c r="H15" i="63"/>
  <c r="H15" i="62"/>
  <c r="L15" s="1"/>
  <c r="N15" s="1"/>
  <c r="G24" i="63"/>
  <c r="G24" i="62"/>
  <c r="G29"/>
  <c r="L29" s="1"/>
  <c r="N29" s="1"/>
  <c r="I21" i="1"/>
  <c r="T21" s="1"/>
  <c r="G29" i="63"/>
  <c r="T96" i="1"/>
  <c r="T97"/>
  <c r="L57" i="63"/>
  <c r="O103" i="24"/>
  <c r="L35" i="62"/>
  <c r="N35" s="1"/>
  <c r="I32" i="1"/>
  <c r="V32" s="1"/>
  <c r="G51" i="63"/>
  <c r="L51" s="1"/>
  <c r="P56" i="55"/>
  <c r="G51" i="62"/>
  <c r="L51" s="1"/>
  <c r="P51" i="52"/>
  <c r="G48" i="63"/>
  <c r="L48" s="1"/>
  <c r="G48" i="62"/>
  <c r="L48" s="1"/>
  <c r="G13"/>
  <c r="L13" s="1"/>
  <c r="N13" s="1"/>
  <c r="I14" i="1"/>
  <c r="V14" s="1"/>
  <c r="G13" i="63"/>
  <c r="L13" s="1"/>
  <c r="N13" s="1"/>
  <c r="P51" i="8"/>
  <c r="L15" i="63"/>
  <c r="N15" s="1"/>
  <c r="K19" i="1"/>
  <c r="U19" s="1"/>
  <c r="H24" i="63"/>
  <c r="I28" i="1"/>
  <c r="V28" s="1"/>
  <c r="G46" i="63"/>
  <c r="L46" s="1"/>
  <c r="G46" i="62"/>
  <c r="L46" s="1"/>
  <c r="F12" i="63"/>
  <c r="L12" s="1"/>
  <c r="N12" s="1"/>
  <c r="F12" i="62"/>
  <c r="L12" s="1"/>
  <c r="N12" s="1"/>
  <c r="H13" i="1"/>
  <c r="L17" i="63"/>
  <c r="N17" s="1"/>
  <c r="G44" i="62"/>
  <c r="P63" i="45"/>
  <c r="I27" i="1"/>
  <c r="V27" s="1"/>
  <c r="G45" i="63"/>
  <c r="L45" s="1"/>
  <c r="G45" i="62"/>
  <c r="L45" s="1"/>
  <c r="G32"/>
  <c r="I22" i="1"/>
  <c r="T22" s="1"/>
  <c r="G32" i="63"/>
  <c r="P68" i="31"/>
  <c r="P51" i="18"/>
  <c r="G19" i="63"/>
  <c r="L19" s="1"/>
  <c r="N19" s="1"/>
  <c r="I73" i="1"/>
  <c r="V73" s="1"/>
  <c r="G19" i="62"/>
  <c r="L19" s="1"/>
  <c r="N19" s="1"/>
  <c r="H44" i="63"/>
  <c r="H44" i="62"/>
  <c r="G14" i="63"/>
  <c r="L14" s="1"/>
  <c r="N14" s="1"/>
  <c r="G14" i="62"/>
  <c r="L14" s="1"/>
  <c r="N14" s="1"/>
  <c r="P41" i="9"/>
  <c r="N49" i="63"/>
  <c r="P49" s="1"/>
  <c r="Q49"/>
  <c r="N49" i="62"/>
  <c r="P49" s="1"/>
  <c r="Q49"/>
  <c r="L24" l="1"/>
  <c r="N24" s="1"/>
  <c r="V19" i="1"/>
  <c r="V10"/>
  <c r="V23"/>
  <c r="V29"/>
  <c r="V17"/>
  <c r="V65"/>
  <c r="V13"/>
  <c r="V22"/>
  <c r="V12"/>
  <c r="V21"/>
  <c r="V30"/>
  <c r="L44" i="63"/>
  <c r="N44" s="1"/>
  <c r="V76" i="1"/>
  <c r="T76"/>
  <c r="T74"/>
  <c r="V74"/>
  <c r="T28"/>
  <c r="T37"/>
  <c r="I180"/>
  <c r="T70"/>
  <c r="T20"/>
  <c r="T27"/>
  <c r="T32"/>
  <c r="T62"/>
  <c r="T10"/>
  <c r="T29"/>
  <c r="T13"/>
  <c r="T34"/>
  <c r="T14"/>
  <c r="T25"/>
  <c r="T35"/>
  <c r="L28" i="63"/>
  <c r="N28" s="1"/>
  <c r="F161" i="62"/>
  <c r="L32"/>
  <c r="N32" s="1"/>
  <c r="T99" i="1"/>
  <c r="L54" i="63"/>
  <c r="H180" i="1"/>
  <c r="L47" i="62"/>
  <c r="N47" s="1"/>
  <c r="P47" s="1"/>
  <c r="L24" i="63"/>
  <c r="N24" s="1"/>
  <c r="H161" i="62"/>
  <c r="I162" s="1"/>
  <c r="L32" i="63"/>
  <c r="N32" s="1"/>
  <c r="L47"/>
  <c r="N47" s="1"/>
  <c r="P47" s="1"/>
  <c r="K180" i="1"/>
  <c r="L181" s="1"/>
  <c r="Q47" i="63"/>
  <c r="G161"/>
  <c r="F161"/>
  <c r="G161" i="62"/>
  <c r="L29" i="63"/>
  <c r="N29" s="1"/>
  <c r="T69" i="1"/>
  <c r="T73"/>
  <c r="Q46" i="63"/>
  <c r="N46"/>
  <c r="P46" s="1"/>
  <c r="N45" i="62"/>
  <c r="P45" s="1"/>
  <c r="Q45"/>
  <c r="N48" i="63"/>
  <c r="P48" s="1"/>
  <c r="Q48"/>
  <c r="N45"/>
  <c r="P45" s="1"/>
  <c r="Q45"/>
  <c r="L44" i="62"/>
  <c r="N46"/>
  <c r="P46" s="1"/>
  <c r="Q46"/>
  <c r="H161" i="63"/>
  <c r="I162" s="1"/>
  <c r="Q48" i="62"/>
  <c r="N48"/>
  <c r="P48" s="1"/>
  <c r="Q44" i="63"/>
  <c r="W65" i="1" l="1"/>
  <c r="T180"/>
  <c r="Z28" s="1"/>
  <c r="V180"/>
  <c r="L161" i="62"/>
  <c r="H181" i="1"/>
  <c r="Q47" i="62"/>
  <c r="L161" i="63"/>
  <c r="L162" i="62"/>
  <c r="U180" i="1"/>
  <c r="L162" i="63"/>
  <c r="Q153"/>
  <c r="T183" i="1"/>
  <c r="V186"/>
  <c r="V181"/>
  <c r="N44" i="62"/>
  <c r="Q44"/>
  <c r="N161" i="63"/>
  <c r="P44"/>
  <c r="Z34" i="1" l="1"/>
  <c r="Z20"/>
  <c r="Z37"/>
  <c r="Z32"/>
  <c r="Z69"/>
  <c r="Z70"/>
  <c r="Z29"/>
  <c r="Z13"/>
  <c r="Z73"/>
  <c r="Z86"/>
  <c r="Z87"/>
  <c r="Z85"/>
  <c r="Z84"/>
  <c r="Z83"/>
  <c r="Z82"/>
  <c r="Z81"/>
  <c r="Z80"/>
  <c r="Z78"/>
  <c r="Z79"/>
  <c r="Z71"/>
  <c r="Z76"/>
  <c r="Z77"/>
  <c r="Z68"/>
  <c r="Z72"/>
  <c r="Z67"/>
  <c r="Z74"/>
  <c r="Z40"/>
  <c r="Z39"/>
  <c r="Z46"/>
  <c r="Z17"/>
  <c r="Z45"/>
  <c r="Z44"/>
  <c r="Z43"/>
  <c r="Z33"/>
  <c r="Z14"/>
  <c r="Z12"/>
  <c r="Z64"/>
  <c r="Z100"/>
  <c r="Z51"/>
  <c r="Z31"/>
  <c r="Z38"/>
  <c r="Z97"/>
  <c r="Z36"/>
  <c r="Z66"/>
  <c r="Z92"/>
  <c r="Z18"/>
  <c r="Z63"/>
  <c r="Z96"/>
  <c r="Z101"/>
  <c r="Z75"/>
  <c r="Z55"/>
  <c r="Z57"/>
  <c r="Z60"/>
  <c r="Z65"/>
  <c r="Z48"/>
  <c r="Z54"/>
  <c r="Z52"/>
  <c r="Z24"/>
  <c r="Z23"/>
  <c r="Z30"/>
  <c r="Z58"/>
  <c r="Z50"/>
  <c r="Z26"/>
  <c r="Z11"/>
  <c r="Z41"/>
  <c r="Z49"/>
  <c r="Z16"/>
  <c r="Z15"/>
  <c r="Z22"/>
  <c r="Z42"/>
  <c r="Z21"/>
  <c r="Z19"/>
  <c r="Z98"/>
  <c r="Z56"/>
  <c r="Z62"/>
  <c r="Z61"/>
  <c r="Z59"/>
  <c r="Z47"/>
  <c r="Z53"/>
  <c r="Z99"/>
  <c r="Z10"/>
  <c r="Z25"/>
  <c r="Z35"/>
  <c r="Z27"/>
  <c r="Q153" i="62"/>
  <c r="Q161" i="63"/>
  <c r="P44" i="62"/>
  <c r="N161"/>
  <c r="Z180" i="1" l="1"/>
  <c r="AA180" s="1"/>
  <c r="AA9" s="1"/>
  <c r="AB9" s="1"/>
  <c r="Q161" i="62"/>
  <c r="AA37" i="1" l="1"/>
  <c r="AA29"/>
  <c r="AA10"/>
  <c r="AA63"/>
  <c r="AA51"/>
  <c r="AA46"/>
  <c r="AA11"/>
  <c r="AA12"/>
  <c r="AA22"/>
  <c r="AA61"/>
  <c r="AA42"/>
  <c r="AA43"/>
  <c r="AA34"/>
  <c r="AA38"/>
  <c r="AA14"/>
  <c r="AA50"/>
  <c r="AA35"/>
  <c r="AA27"/>
  <c r="AA52"/>
  <c r="AA47"/>
  <c r="AA36"/>
  <c r="AA39"/>
  <c r="AA65"/>
  <c r="AA23"/>
  <c r="AA41"/>
  <c r="AA62"/>
  <c r="AA56"/>
  <c r="AA15"/>
  <c r="AA49"/>
  <c r="AA58"/>
  <c r="AA31"/>
  <c r="AA26"/>
  <c r="AA59"/>
  <c r="AA60"/>
  <c r="AA40"/>
  <c r="AA17"/>
  <c r="AA20"/>
  <c r="AA64"/>
  <c r="AA21"/>
  <c r="AA19"/>
  <c r="AA13"/>
  <c r="AA48"/>
  <c r="AA25"/>
  <c r="AA57"/>
  <c r="AA44"/>
  <c r="AA18"/>
  <c r="AA45"/>
  <c r="AA53"/>
  <c r="AA24"/>
  <c r="AA54"/>
  <c r="AA16"/>
  <c r="AA32"/>
  <c r="AA55"/>
  <c r="AA28"/>
  <c r="AA33"/>
  <c r="AA30"/>
  <c r="AI10"/>
  <c r="AI17" s="1"/>
  <c r="AA181" l="1"/>
  <c r="AI18"/>
  <c r="H53" i="17"/>
  <c r="AI96" i="1" l="1"/>
  <c r="H40" i="9"/>
  <c r="C5" i="43"/>
  <c r="L165" i="63" s="1"/>
  <c r="O32" l="1"/>
  <c r="P32" s="1"/>
  <c r="O40"/>
  <c r="P40" s="1"/>
  <c r="O43"/>
  <c r="P43" s="1"/>
  <c r="O24"/>
  <c r="P24" s="1"/>
  <c r="O18"/>
  <c r="P18" s="1"/>
  <c r="O10"/>
  <c r="O13"/>
  <c r="P13" s="1"/>
  <c r="O31"/>
  <c r="P31" s="1"/>
  <c r="O14"/>
  <c r="P14" s="1"/>
  <c r="L166"/>
  <c r="O30"/>
  <c r="P30" s="1"/>
  <c r="O20"/>
  <c r="P20" s="1"/>
  <c r="O19"/>
  <c r="P19" s="1"/>
  <c r="O17"/>
  <c r="P17" s="1"/>
  <c r="O36"/>
  <c r="P36" s="1"/>
  <c r="O16"/>
  <c r="P16" s="1"/>
  <c r="O42"/>
  <c r="P42" s="1"/>
  <c r="O22"/>
  <c r="P22" s="1"/>
  <c r="O25"/>
  <c r="P25" s="1"/>
  <c r="O28"/>
  <c r="P28" s="1"/>
  <c r="O39"/>
  <c r="P39" s="1"/>
  <c r="O29"/>
  <c r="P29" s="1"/>
  <c r="O34"/>
  <c r="P34" s="1"/>
  <c r="O26"/>
  <c r="P26" s="1"/>
  <c r="O35"/>
  <c r="P35" s="1"/>
  <c r="O23"/>
  <c r="P23" s="1"/>
  <c r="O21"/>
  <c r="P21" s="1"/>
  <c r="O41"/>
  <c r="P41" s="1"/>
  <c r="O38"/>
  <c r="P38" s="1"/>
  <c r="O11"/>
  <c r="P11" s="1"/>
  <c r="O15"/>
  <c r="P15" s="1"/>
  <c r="O33"/>
  <c r="P33" s="1"/>
  <c r="O12"/>
  <c r="P12" s="1"/>
  <c r="O27"/>
  <c r="P27" s="1"/>
  <c r="O37"/>
  <c r="P37" s="1"/>
  <c r="V184" i="1"/>
  <c r="V185" s="1"/>
  <c r="L165" i="62"/>
  <c r="O153" i="63" l="1"/>
  <c r="P10"/>
  <c r="P161" s="1"/>
  <c r="O10" i="62"/>
  <c r="O31"/>
  <c r="P31" s="1"/>
  <c r="O22"/>
  <c r="P22" s="1"/>
  <c r="O39"/>
  <c r="P39" s="1"/>
  <c r="O38"/>
  <c r="P38" s="1"/>
  <c r="O30"/>
  <c r="P30" s="1"/>
  <c r="O23"/>
  <c r="P23" s="1"/>
  <c r="O25"/>
  <c r="P25" s="1"/>
  <c r="O26"/>
  <c r="P26" s="1"/>
  <c r="O17"/>
  <c r="P17" s="1"/>
  <c r="O34"/>
  <c r="P34" s="1"/>
  <c r="O32"/>
  <c r="P32" s="1"/>
  <c r="O28"/>
  <c r="P28" s="1"/>
  <c r="L166"/>
  <c r="O24"/>
  <c r="P24" s="1"/>
  <c r="O18"/>
  <c r="P18" s="1"/>
  <c r="O12"/>
  <c r="P12" s="1"/>
  <c r="O42"/>
  <c r="P42" s="1"/>
  <c r="O20"/>
  <c r="P20" s="1"/>
  <c r="O35"/>
  <c r="P35" s="1"/>
  <c r="O21"/>
  <c r="P21" s="1"/>
  <c r="O27"/>
  <c r="P27" s="1"/>
  <c r="O13"/>
  <c r="P13" s="1"/>
  <c r="O41"/>
  <c r="P41" s="1"/>
  <c r="O14"/>
  <c r="P14" s="1"/>
  <c r="O29"/>
  <c r="P29" s="1"/>
  <c r="O15"/>
  <c r="P15" s="1"/>
  <c r="O33"/>
  <c r="P33" s="1"/>
  <c r="O19"/>
  <c r="P19" s="1"/>
  <c r="O36"/>
  <c r="P36" s="1"/>
  <c r="O43"/>
  <c r="P43" s="1"/>
  <c r="O16"/>
  <c r="P16" s="1"/>
  <c r="O11"/>
  <c r="P11" s="1"/>
  <c r="O37"/>
  <c r="P37" s="1"/>
  <c r="O40"/>
  <c r="P40" s="1"/>
  <c r="P10" l="1"/>
  <c r="P161" s="1"/>
  <c r="O153"/>
  <c r="AI20" i="1"/>
  <c r="AI12" s="1"/>
  <c r="AC9"/>
  <c r="AI69"/>
  <c r="AG77" l="1"/>
  <c r="AG76"/>
  <c r="AC46"/>
  <c r="AF46" s="1"/>
  <c r="AC105"/>
  <c r="AC18"/>
  <c r="AC106"/>
  <c r="AF106" s="1"/>
  <c r="AC13"/>
  <c r="AC44"/>
  <c r="AF44" s="1"/>
  <c r="AC28"/>
  <c r="AC16"/>
  <c r="AC38"/>
  <c r="AC51"/>
  <c r="AF51" s="1"/>
  <c r="AC26"/>
  <c r="AC58"/>
  <c r="AC50"/>
  <c r="AF50" s="1"/>
  <c r="AC49"/>
  <c r="AF49" s="1"/>
  <c r="AC74"/>
  <c r="AC69"/>
  <c r="AC19"/>
  <c r="AC59"/>
  <c r="AF59" s="1"/>
  <c r="AC40"/>
  <c r="AC56"/>
  <c r="AC63"/>
  <c r="AC30"/>
  <c r="AC14"/>
  <c r="AC97"/>
  <c r="AC17"/>
  <c r="AC72"/>
  <c r="AC100"/>
  <c r="AC73"/>
  <c r="AC47"/>
  <c r="AF47" s="1"/>
  <c r="AC52"/>
  <c r="AF52" s="1"/>
  <c r="AC76"/>
  <c r="AC27"/>
  <c r="AC22"/>
  <c r="AC108"/>
  <c r="AF108" s="1"/>
  <c r="AC68"/>
  <c r="AC48"/>
  <c r="AF48" s="1"/>
  <c r="AC104"/>
  <c r="AF104" s="1"/>
  <c r="AC34"/>
  <c r="AC102"/>
  <c r="AF102" s="1"/>
  <c r="AC33"/>
  <c r="AC37"/>
  <c r="AC75"/>
  <c r="AC65"/>
  <c r="AC36"/>
  <c r="AC21"/>
  <c r="AC71"/>
  <c r="AC67"/>
  <c r="AC20"/>
  <c r="AC98"/>
  <c r="AF98" s="1"/>
  <c r="AC25"/>
  <c r="AC107"/>
  <c r="AF107" s="1"/>
  <c r="AC41"/>
  <c r="AC45"/>
  <c r="AF45" s="1"/>
  <c r="AC66"/>
  <c r="AC103"/>
  <c r="AF103" s="1"/>
  <c r="AC39"/>
  <c r="AC12"/>
  <c r="AC42"/>
  <c r="AC15"/>
  <c r="AC23"/>
  <c r="AC32"/>
  <c r="AC77"/>
  <c r="AC29"/>
  <c r="AC101"/>
  <c r="AF101" s="1"/>
  <c r="AC60"/>
  <c r="AF60" s="1"/>
  <c r="AC10"/>
  <c r="AC96"/>
  <c r="AC24"/>
  <c r="AC11"/>
  <c r="AC43"/>
  <c r="AC57"/>
  <c r="AF57" s="1"/>
  <c r="AC35"/>
  <c r="AC31"/>
  <c r="AC62"/>
  <c r="AC61"/>
  <c r="AF61" s="1"/>
  <c r="AC70"/>
  <c r="AC99"/>
  <c r="AI13"/>
  <c r="AI14" s="1"/>
  <c r="AI16" l="1"/>
  <c r="AI66" s="1"/>
  <c r="AI74" s="1"/>
  <c r="AG172"/>
  <c r="AC180"/>
  <c r="AI19"/>
  <c r="AC181" l="1"/>
  <c r="AD9" s="1"/>
  <c r="AG180"/>
  <c r="AD97" l="1"/>
  <c r="AF97" s="1"/>
  <c r="AD75"/>
  <c r="AF75" s="1"/>
  <c r="AD27"/>
  <c r="AF27" s="1"/>
  <c r="AD70"/>
  <c r="AF70" s="1"/>
  <c r="AD96"/>
  <c r="AF96" s="1"/>
  <c r="AD37"/>
  <c r="AF37" s="1"/>
  <c r="AD66"/>
  <c r="AF66" s="1"/>
  <c r="AD67"/>
  <c r="AF67" s="1"/>
  <c r="AD29"/>
  <c r="AF29" s="1"/>
  <c r="AD11"/>
  <c r="AF11" s="1"/>
  <c r="AD31"/>
  <c r="AF31" s="1"/>
  <c r="AD21"/>
  <c r="AF21" s="1"/>
  <c r="AD10"/>
  <c r="AD38"/>
  <c r="AF38" s="1"/>
  <c r="AD26"/>
  <c r="AF26" s="1"/>
  <c r="AD99"/>
  <c r="AF99" s="1"/>
  <c r="AD74"/>
  <c r="AF74" s="1"/>
  <c r="AD62"/>
  <c r="AF62" s="1"/>
  <c r="AD71"/>
  <c r="AF71" s="1"/>
  <c r="AD69"/>
  <c r="AF69" s="1"/>
  <c r="AD14"/>
  <c r="AF14" s="1"/>
  <c r="AD17"/>
  <c r="AF17" s="1"/>
  <c r="AD23"/>
  <c r="AF23" s="1"/>
  <c r="AD20"/>
  <c r="AF20" s="1"/>
  <c r="AD39"/>
  <c r="AF39" s="1"/>
  <c r="AD40"/>
  <c r="AF40" s="1"/>
  <c r="AD28"/>
  <c r="AF28" s="1"/>
  <c r="AD68"/>
  <c r="AF68" s="1"/>
  <c r="AD18"/>
  <c r="AF18" s="1"/>
  <c r="AD58"/>
  <c r="AF58" s="1"/>
  <c r="AD33"/>
  <c r="AF33" s="1"/>
  <c r="AD32"/>
  <c r="AF32" s="1"/>
  <c r="AD76"/>
  <c r="AF76" s="1"/>
  <c r="AD24"/>
  <c r="AF24" s="1"/>
  <c r="AD65"/>
  <c r="AF65" s="1"/>
  <c r="AD42"/>
  <c r="AF42" s="1"/>
  <c r="AD105"/>
  <c r="AF105" s="1"/>
  <c r="AD41"/>
  <c r="AF41" s="1"/>
  <c r="AD16"/>
  <c r="AF16" s="1"/>
  <c r="AD72"/>
  <c r="AF72" s="1"/>
  <c r="AD34"/>
  <c r="AF34" s="1"/>
  <c r="AD63"/>
  <c r="AF63" s="1"/>
  <c r="AD13"/>
  <c r="AF13" s="1"/>
  <c r="AD36"/>
  <c r="AF36" s="1"/>
  <c r="AD15"/>
  <c r="AF15" s="1"/>
  <c r="AD43"/>
  <c r="AF43" s="1"/>
  <c r="AD77"/>
  <c r="AF77" s="1"/>
  <c r="AD56"/>
  <c r="AF56" s="1"/>
  <c r="AD100"/>
  <c r="AF100" s="1"/>
  <c r="AD12"/>
  <c r="AF12" s="1"/>
  <c r="AD19"/>
  <c r="AF19" s="1"/>
  <c r="AD35"/>
  <c r="AF35" s="1"/>
  <c r="AD30"/>
  <c r="AF30" s="1"/>
  <c r="AD73"/>
  <c r="AF73" s="1"/>
  <c r="AD22"/>
  <c r="AF22" s="1"/>
  <c r="AD25"/>
  <c r="AF25" s="1"/>
  <c r="AF10" l="1"/>
  <c r="AF180" s="1"/>
  <c r="AD180"/>
</calcChain>
</file>

<file path=xl/comments1.xml><?xml version="1.0" encoding="utf-8"?>
<comments xmlns="http://schemas.openxmlformats.org/spreadsheetml/2006/main">
  <authors>
    <author>KOMPUTER02</author>
  </authors>
  <commentList>
    <comment ref="V182" authorId="0">
      <text>
        <r>
          <rPr>
            <b/>
            <sz val="8"/>
            <color indexed="81"/>
            <rFont val="Tahoma"/>
            <family val="2"/>
          </rPr>
          <t>SIMPANAN ANGGOTA :</t>
        </r>
        <r>
          <rPr>
            <sz val="8"/>
            <color indexed="81"/>
            <rFont val="Tahoma"/>
            <family val="2"/>
          </rPr>
          <t xml:space="preserve">
PERIODE 31 DES. 2012</t>
        </r>
      </text>
    </comment>
  </commentList>
</comments>
</file>

<file path=xl/comments2.xml><?xml version="1.0" encoding="utf-8"?>
<comments xmlns="http://schemas.openxmlformats.org/spreadsheetml/2006/main">
  <authors>
    <author>KOMPUTER02</author>
  </authors>
  <commentList>
    <comment ref="F32" authorId="0">
      <text>
        <r>
          <rPr>
            <b/>
            <sz val="8"/>
            <color indexed="81"/>
            <rFont val="Tahoma"/>
            <family val="2"/>
          </rPr>
          <t>KOMPUTER02:</t>
        </r>
        <r>
          <rPr>
            <sz val="8"/>
            <color indexed="81"/>
            <rFont val="Tahoma"/>
            <family val="2"/>
          </rPr>
          <t xml:space="preserve">
Terjadi kesalahan pada transaksi ini di buku simpanan sdr muji. Untuk koreksi</t>
        </r>
      </text>
    </comment>
    <comment ref="F33" authorId="0">
      <text>
        <r>
          <rPr>
            <b/>
            <sz val="8"/>
            <color indexed="81"/>
            <rFont val="Tahoma"/>
            <family val="2"/>
          </rPr>
          <t>KOMPUTER02:</t>
        </r>
        <r>
          <rPr>
            <sz val="8"/>
            <color indexed="81"/>
            <rFont val="Tahoma"/>
            <family val="2"/>
          </rPr>
          <t xml:space="preserve">
transaksi ini ikutan transaksi no. 32 tgl 8/11/2012</t>
        </r>
      </text>
    </comment>
  </commentList>
</comments>
</file>

<file path=xl/comments3.xml><?xml version="1.0" encoding="utf-8"?>
<comments xmlns="http://schemas.openxmlformats.org/spreadsheetml/2006/main">
  <authors>
    <author>KOMPUTER02</author>
  </authors>
  <commentList>
    <comment ref="L163" authorId="0">
      <text>
        <r>
          <rPr>
            <b/>
            <sz val="8"/>
            <color indexed="81"/>
            <rFont val="Tahoma"/>
            <family val="2"/>
          </rPr>
          <t>SIMPANAN ANGGOTA :</t>
        </r>
        <r>
          <rPr>
            <sz val="8"/>
            <color indexed="81"/>
            <rFont val="Tahoma"/>
            <family val="2"/>
          </rPr>
          <t xml:space="preserve">
PERIODE 31 DES. 2012</t>
        </r>
      </text>
    </comment>
  </commentList>
</comments>
</file>

<file path=xl/comments4.xml><?xml version="1.0" encoding="utf-8"?>
<comments xmlns="http://schemas.openxmlformats.org/spreadsheetml/2006/main">
  <authors>
    <author>KOMPUTER02</author>
  </authors>
  <commentList>
    <comment ref="L163" authorId="0">
      <text>
        <r>
          <rPr>
            <b/>
            <sz val="8"/>
            <color indexed="81"/>
            <rFont val="Tahoma"/>
            <family val="2"/>
          </rPr>
          <t>SIMPANAN ANGGOTA :</t>
        </r>
        <r>
          <rPr>
            <sz val="8"/>
            <color indexed="81"/>
            <rFont val="Tahoma"/>
            <family val="2"/>
          </rPr>
          <t xml:space="preserve">
PERIODE 31 DES. 2012</t>
        </r>
      </text>
    </comment>
  </commentList>
</comments>
</file>

<file path=xl/sharedStrings.xml><?xml version="1.0" encoding="utf-8"?>
<sst xmlns="http://schemas.openxmlformats.org/spreadsheetml/2006/main" count="5943" uniqueCount="1172">
  <si>
    <t xml:space="preserve"> </t>
  </si>
  <si>
    <t>JUMLAH</t>
  </si>
  <si>
    <t>NAMA</t>
  </si>
  <si>
    <t>:</t>
  </si>
  <si>
    <t>DAFTAR ANGGOTA</t>
  </si>
  <si>
    <t>POKOK</t>
  </si>
  <si>
    <t>WAJIB</t>
  </si>
  <si>
    <t>SUKARELA</t>
  </si>
  <si>
    <t>HP</t>
  </si>
  <si>
    <t>NO. AGGT</t>
  </si>
  <si>
    <t>KOPERASI SYARIAH NAASHIRUS SUNNAH</t>
  </si>
  <si>
    <t>Alamat</t>
  </si>
  <si>
    <t>catatan</t>
  </si>
  <si>
    <t>ABDUL GHONI</t>
  </si>
  <si>
    <t>NASYRUL ULUM, UST.</t>
  </si>
  <si>
    <t>TARYAMAN IBRAHIM, UST.</t>
  </si>
  <si>
    <t>08121450071</t>
  </si>
  <si>
    <t>08122498557</t>
  </si>
  <si>
    <t>085224162233</t>
  </si>
  <si>
    <t>Desa Tugu, Kec. Sliyeg - indramayu</t>
  </si>
  <si>
    <t>Desa Nunuk RT 11/04 Kec. Lelea Im.</t>
  </si>
  <si>
    <t>Desa Kalimati RT 006/02 Kec. JTB - Im.</t>
  </si>
  <si>
    <t>ANWAR Z. MUSTOFA</t>
  </si>
  <si>
    <t>081324086361</t>
  </si>
  <si>
    <t>Griya Asri II Kec. Kab. Indramayu</t>
  </si>
  <si>
    <t>TAUFIK EFFENDI</t>
  </si>
  <si>
    <t>08112410412</t>
  </si>
  <si>
    <t>Jl. Dumai III No. 108 Bumi Patra Indramayu</t>
  </si>
  <si>
    <t>BUDI HARNOWO</t>
  </si>
  <si>
    <t>08156422275</t>
  </si>
  <si>
    <t>SUKIMAN</t>
  </si>
  <si>
    <t>081322370061 - 0234275044</t>
  </si>
  <si>
    <t>SUPARLAN</t>
  </si>
  <si>
    <t>081312412005</t>
  </si>
  <si>
    <t>Griya Asri II B35 Indramayu</t>
  </si>
  <si>
    <t>AED BAJRI, Ust.</t>
  </si>
  <si>
    <t>085923100166</t>
  </si>
  <si>
    <t>ARSYAD</t>
  </si>
  <si>
    <t>081320372044</t>
  </si>
  <si>
    <t>Jl. Anyelir B103 Griya Asri II Indramayu</t>
  </si>
  <si>
    <t>SUDIRNO F.</t>
  </si>
  <si>
    <t>081324440827</t>
  </si>
  <si>
    <t>ANDI S.</t>
  </si>
  <si>
    <t>08122205348</t>
  </si>
  <si>
    <t>Margalaksana</t>
  </si>
  <si>
    <t>RUDI DARMANTO</t>
  </si>
  <si>
    <t>081324294645</t>
  </si>
  <si>
    <t>TABRONI</t>
  </si>
  <si>
    <t>085224060258</t>
  </si>
  <si>
    <t xml:space="preserve">Nama </t>
  </si>
  <si>
    <t>No. Anggota</t>
  </si>
  <si>
    <t>0001</t>
  </si>
  <si>
    <t>Indramayu</t>
  </si>
  <si>
    <t>No. Identitas  :</t>
  </si>
  <si>
    <t>Indramayu, 01 April 2011</t>
  </si>
  <si>
    <t>Koperasi SNS,</t>
  </si>
  <si>
    <t>Petugas</t>
  </si>
  <si>
    <t>Date</t>
  </si>
  <si>
    <t>Description</t>
  </si>
  <si>
    <t>Simpanan Pokok</t>
  </si>
  <si>
    <t xml:space="preserve">Koperasi Syariah Naashirus Sunnah </t>
  </si>
  <si>
    <t>No. HP/Telp.  :</t>
  </si>
  <si>
    <t>Tgl Masuk Agt : 01 April 2011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</si>
  <si>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</si>
  <si>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</si>
  <si>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</si>
  <si>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</si>
  <si>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</si>
  <si>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</si>
  <si>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</si>
  <si>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</si>
  <si>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</si>
  <si>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</si>
  <si>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</si>
  <si>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</si>
  <si>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</si>
  <si>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</si>
  <si>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</si>
  <si>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</si>
  <si>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</si>
  <si>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</si>
  <si>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</si>
  <si>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JUMAIDIN</t>
  </si>
  <si>
    <t>081328072627</t>
  </si>
  <si>
    <t>Griya Asri II Blok B no. 105</t>
  </si>
  <si>
    <t>M. IQBAL F.</t>
  </si>
  <si>
    <t>08562280370</t>
  </si>
  <si>
    <t>Debet</t>
  </si>
  <si>
    <t>Credit</t>
  </si>
  <si>
    <t>Saldo</t>
  </si>
  <si>
    <t>JAKA RIANSYAH T.</t>
  </si>
  <si>
    <t>083890366843</t>
  </si>
  <si>
    <t>SALEH ISKANDAR</t>
  </si>
  <si>
    <t>M. MAHDI</t>
  </si>
  <si>
    <t>FUDHY TRISTIANTO</t>
  </si>
  <si>
    <t>082128728746</t>
  </si>
  <si>
    <t>Komplek Bumi Patra Indramayu</t>
  </si>
  <si>
    <t>081572656703</t>
  </si>
  <si>
    <t>081804699236</t>
  </si>
  <si>
    <t>Tgl Masuk Agt : 04 April 2011</t>
  </si>
  <si>
    <t>Indramayu, 04 April 2011</t>
  </si>
  <si>
    <t>Desa Nunuk RT 11/04 Kec. Lelea</t>
  </si>
  <si>
    <t>Simpanan Wajib</t>
  </si>
  <si>
    <t>Desa Kalimati RT 006/02 Kec. JTB</t>
  </si>
  <si>
    <t>Komplek Griya Asri II</t>
  </si>
  <si>
    <t>Tgl Masuk Agt : 17 Maret 2011</t>
  </si>
  <si>
    <t>SW. Mei s/d Sept.11</t>
  </si>
  <si>
    <t>Tgl Masuk Agt : 09 Maret 2011</t>
  </si>
  <si>
    <t>Tgl Masuk Agt : 28 April 2011</t>
  </si>
  <si>
    <t>Indramayu, 28 April 2011</t>
  </si>
  <si>
    <t>Simpanan Sukarela</t>
  </si>
  <si>
    <t>Griya Asri II A71 Indramayu</t>
  </si>
  <si>
    <t>Tgl Masuk Agt : 19 Maret 2011</t>
  </si>
  <si>
    <t>Jl. Letjen Soeprapto No. 235 Indramayu</t>
  </si>
  <si>
    <t>Jl. Letjen Soeprapto No. 235</t>
  </si>
  <si>
    <t>Tgl Masuk Agt : 09 Mei 2011</t>
  </si>
  <si>
    <t>Indramayu, 09 Mei 2011</t>
  </si>
  <si>
    <t>Jl. Kutilang II A28 Sindang Citra</t>
  </si>
  <si>
    <t>Tgl Masuk Agt : 23 April 2011</t>
  </si>
  <si>
    <t>Indramayu, 23 April 2011</t>
  </si>
  <si>
    <t>Jl. Perjuangan No. 41 Kepandaian</t>
  </si>
  <si>
    <t>Tanggal Masuk Agt : 30 April 2011</t>
  </si>
  <si>
    <t>Indramayu, 30 April 2011</t>
  </si>
  <si>
    <t>Desa Pekandangan RT 04/05 No. 5 Pkndgn</t>
  </si>
  <si>
    <t>Tgl Masuk Agt : 25 April 2011</t>
  </si>
  <si>
    <t>Indramayu, 25 April 2011</t>
  </si>
  <si>
    <t>Tgl Masuk Agt : 19 Mei 2011</t>
  </si>
  <si>
    <t>Indramayu, 19 Mei 2011</t>
  </si>
  <si>
    <t>Pasar Baru Indramayu</t>
  </si>
  <si>
    <t>Ds. Ujung Pendok Tngh RT 09/03 Wdsr</t>
  </si>
  <si>
    <t>Tgl Masuk Agt : 30 April 2011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</si>
  <si>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</si>
  <si>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</si>
  <si>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</si>
  <si>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</si>
  <si>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</si>
  <si>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</si>
  <si>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</si>
  <si>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</si>
  <si>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</si>
  <si>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</si>
  <si>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</si>
  <si>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</si>
  <si>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</si>
  <si>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</si>
  <si>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</si>
  <si>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</si>
  <si>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</si>
  <si>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</si>
  <si>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</si>
  <si>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</si>
  <si>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</si>
  <si>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</si>
  <si>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</si>
  <si>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</si>
  <si>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</si>
  <si>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</si>
  <si>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</si>
  <si>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</si>
  <si>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</si>
  <si>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</si>
  <si>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</si>
  <si>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</si>
  <si>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</si>
  <si>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</si>
  <si>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</si>
  <si>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</si>
  <si>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</si>
  <si>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</si>
  <si>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</si>
  <si>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</si>
  <si>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</si>
  <si>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</si>
  <si>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</si>
  <si>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</si>
  <si>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</si>
  <si>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</si>
  <si>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</si>
  <si>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</si>
  <si>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</si>
  <si>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</si>
  <si>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</si>
  <si>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</si>
  <si>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</si>
  <si>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</si>
  <si>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</si>
  <si>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</si>
  <si>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</si>
  <si>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</si>
  <si>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</si>
  <si>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</si>
  <si>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</si>
  <si>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</si>
  <si>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</si>
  <si>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</si>
  <si>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</si>
  <si>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</si>
  <si>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</si>
  <si>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</si>
  <si>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</si>
  <si>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</si>
  <si>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</si>
  <si>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</si>
  <si>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</si>
  <si>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</si>
  <si>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</si>
  <si>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</si>
  <si>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</si>
  <si>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</si>
  <si>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</si>
  <si>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</si>
  <si>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</si>
  <si>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</si>
  <si>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</si>
  <si>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</si>
  <si>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</si>
  <si>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</si>
  <si>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</si>
  <si>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</si>
  <si>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</si>
  <si>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</si>
  <si>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</si>
  <si>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</si>
  <si>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</si>
  <si>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</si>
  <si>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</si>
  <si>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</si>
  <si>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</si>
  <si>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</si>
  <si>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</si>
  <si>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</si>
  <si>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</si>
  <si>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</si>
  <si>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</si>
  <si>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</si>
  <si>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</si>
  <si>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</si>
  <si>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</si>
  <si>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</si>
  <si>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</si>
  <si>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</si>
  <si>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</si>
  <si>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</si>
  <si>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</si>
  <si>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</si>
  <si>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</si>
  <si>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</si>
  <si>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</si>
  <si>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</si>
  <si>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</si>
  <si>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</si>
  <si>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FUAD HARIS</t>
  </si>
  <si>
    <t>SIRODJUDIN</t>
  </si>
  <si>
    <t>MUDJIONO</t>
  </si>
  <si>
    <t>0811202353</t>
  </si>
  <si>
    <t>081313322724</t>
  </si>
  <si>
    <t>081395710740</t>
  </si>
  <si>
    <t>Jl. Letjen Soeprapto No. 39 Gg 35 Krgmlng  Indramayu</t>
  </si>
  <si>
    <t xml:space="preserve">Ds. Rawadalem Rt. 08/03 Kec. Balongan </t>
  </si>
  <si>
    <t>Tgl Masuk Agt : 04 Juni 2011</t>
  </si>
  <si>
    <t>Indramayu, 04 Juni 2011</t>
  </si>
  <si>
    <t>SW. Apr, Mei, Jun, Jul</t>
  </si>
  <si>
    <t>Widasari - Indramayu</t>
  </si>
  <si>
    <t>ENDANG</t>
  </si>
  <si>
    <t>08728910507</t>
  </si>
  <si>
    <t>Ds. Rambatan Kulon RT 13/02 Lohbener</t>
  </si>
  <si>
    <t>ROKIM SE.</t>
  </si>
  <si>
    <t>081912952443</t>
  </si>
  <si>
    <t>MOH. RASTAKA</t>
  </si>
  <si>
    <t>081911414568</t>
  </si>
  <si>
    <t>RUSTONO</t>
  </si>
  <si>
    <t>087727818203</t>
  </si>
  <si>
    <t>085222438086</t>
  </si>
  <si>
    <t>Tgl Masuk Agt : 15 Juni 2011</t>
  </si>
  <si>
    <t>Indramayu, 15 Juni 2011</t>
  </si>
  <si>
    <t>HERU DWI</t>
  </si>
  <si>
    <t>Tgl Masuk Agt : 08 JuLi 2011</t>
  </si>
  <si>
    <t>Indramayu, 08 Juli 2011</t>
  </si>
  <si>
    <t>RUSFI FAUZI</t>
  </si>
  <si>
    <t>081548182833</t>
  </si>
  <si>
    <t>Jl. Rambutan No.1 Lemah Mekar</t>
  </si>
  <si>
    <t>SW. Agst, Sept.</t>
  </si>
  <si>
    <t>SS</t>
  </si>
  <si>
    <t xml:space="preserve">CHRISTANTO </t>
  </si>
  <si>
    <t>085224716543</t>
  </si>
  <si>
    <t>Ds. Sleman Blok Prapatan RT/RW 01/01 Sliyeg - Indramayu</t>
  </si>
  <si>
    <t>SW</t>
  </si>
  <si>
    <t>CATUR PURNOMO</t>
  </si>
  <si>
    <t>08562960996</t>
  </si>
  <si>
    <t>Jl. Cilacap II / 151 Indramayu</t>
  </si>
  <si>
    <t>SW Jun, Jul, Agst</t>
  </si>
  <si>
    <t>14/08/2011</t>
  </si>
  <si>
    <t>Tgl Masuk Agt : 01 Agustus 2011</t>
  </si>
  <si>
    <t>Indramayu, 01 Agustus 2011</t>
  </si>
  <si>
    <t>MAMAN SUKARMAN</t>
  </si>
  <si>
    <t>Tgl Masuk Agt : 29 Oktober 2011</t>
  </si>
  <si>
    <t>Indramayu, 29 Oktober 2011</t>
  </si>
  <si>
    <t>SWSept. Okt.</t>
  </si>
  <si>
    <t>30/09/2011</t>
  </si>
  <si>
    <t>SW Nop. Des</t>
  </si>
  <si>
    <t>SW. Okt~Des'11</t>
  </si>
  <si>
    <t>SW Mei ~ Nop'11</t>
  </si>
  <si>
    <t>S.Sukarela</t>
  </si>
  <si>
    <t>SW Jan &amp; Feb</t>
  </si>
  <si>
    <t>SW. Jan~Mart'12</t>
  </si>
  <si>
    <t>SW. Apr~Mei '12</t>
  </si>
  <si>
    <t>S.Suk.</t>
  </si>
  <si>
    <t>TOTAL SALDO</t>
  </si>
  <si>
    <t>MUHAMMAD</t>
  </si>
  <si>
    <t>087829032010</t>
  </si>
  <si>
    <t>Ds. Karang Malang - Indramayu</t>
  </si>
  <si>
    <t>TOTAL S/D TANGGAL :</t>
  </si>
  <si>
    <t>TOTAL SIMPANAN                 POKOK, WAJIB, SUKARELA</t>
  </si>
  <si>
    <t>085648665856</t>
  </si>
  <si>
    <t>085317210202</t>
  </si>
  <si>
    <t>S Wajib Maret</t>
  </si>
  <si>
    <t>SW Des~Febr</t>
  </si>
  <si>
    <t>SW Maret &amp; April</t>
  </si>
  <si>
    <t>UMAR</t>
  </si>
  <si>
    <t>Jl. Jend. Soedirman 202 Krg Anyar Indramayu</t>
  </si>
  <si>
    <t>Indramayu, 28 April  2012</t>
  </si>
  <si>
    <t>SW Maret 2012</t>
  </si>
  <si>
    <t>FEE ATAS AGEN 06</t>
  </si>
  <si>
    <t>GRIYA ASRI 2</t>
  </si>
  <si>
    <t>Penanaman Modal</t>
  </si>
  <si>
    <t>PENANAMAN MODAL MUDHAROBAH MUQOYYADAH</t>
  </si>
  <si>
    <t>Per 19 Mei 2012</t>
  </si>
  <si>
    <t>Tgl Masuk Agt : 19 Mei 2012</t>
  </si>
  <si>
    <t>S Wajib April - Mei</t>
  </si>
  <si>
    <t>22/5/201</t>
  </si>
  <si>
    <t>DINO HERMAWAN</t>
  </si>
  <si>
    <t>08997392907</t>
  </si>
  <si>
    <t>JL. Yos Sudarso 33 Margadadi - Indramayu</t>
  </si>
  <si>
    <t>Tgl Masuk Agt : 01 Juni 2012</t>
  </si>
  <si>
    <t>Indramayu, 01 Juni  2012</t>
  </si>
  <si>
    <t>Tambahan Spokok</t>
  </si>
  <si>
    <t>SW.  April 2012</t>
  </si>
  <si>
    <t>JUMLAH SIMPANAN</t>
  </si>
  <si>
    <t>Simp. Pokok</t>
  </si>
  <si>
    <t>Simp. Wajib</t>
  </si>
  <si>
    <t>Simp. Sukarela</t>
  </si>
  <si>
    <t>Al-Wadi'ah</t>
  </si>
  <si>
    <t>RUSTAM (SARNIT)</t>
  </si>
  <si>
    <t>H. SUPARLAN</t>
  </si>
  <si>
    <t xml:space="preserve">ATAS NAMA  : </t>
  </si>
  <si>
    <t>H.BUDI HARN OWO</t>
  </si>
  <si>
    <t>Per 29 Juni 2012</t>
  </si>
  <si>
    <t>SW Mei, Juni, Juli</t>
  </si>
  <si>
    <t>SW. Mei 2012</t>
  </si>
  <si>
    <t>087828672153</t>
  </si>
  <si>
    <t>Desa Sukaurip - Balongan - Indramayu</t>
  </si>
  <si>
    <t>Tgl Masuk Agt : 26 Juli 2012</t>
  </si>
  <si>
    <t>Indramayu, 26 Juli  2012</t>
  </si>
  <si>
    <t>TAKDONI</t>
  </si>
  <si>
    <t>M. SAAD</t>
  </si>
  <si>
    <t>Bumi Patra - Indramayu</t>
  </si>
  <si>
    <t>Tgl Masuk Agt : 27 Juli 2012</t>
  </si>
  <si>
    <t>Indramayu, 27 Juli  2012</t>
  </si>
  <si>
    <t>SW Juli - Des '12</t>
  </si>
  <si>
    <t>SW Juni 2012</t>
  </si>
  <si>
    <t>Pengembalian penanaman Modal Tahap I</t>
  </si>
  <si>
    <t>Penanaman Modal Tahap II</t>
  </si>
  <si>
    <t>Penanaman Modal Tahap I</t>
  </si>
  <si>
    <t>SW Agst, Sept.</t>
  </si>
  <si>
    <t>TOTAL BELUM DIKEMBALIKAN</t>
  </si>
  <si>
    <t>SW Juli 2012</t>
  </si>
  <si>
    <t>SW Juni-Okt.</t>
  </si>
  <si>
    <t>SW Juni</t>
  </si>
  <si>
    <t>SW Okt, Nop.</t>
  </si>
  <si>
    <t>UMMU ROSYAD</t>
  </si>
  <si>
    <t>TUGU SLIYEG - INDRAMAYU</t>
  </si>
  <si>
    <t>SW Nopember</t>
  </si>
  <si>
    <t>SW Nop - Des</t>
  </si>
  <si>
    <t>SW s/d Maret /13</t>
  </si>
  <si>
    <t>SW Jun~Des'12</t>
  </si>
  <si>
    <t>SW Des '12</t>
  </si>
  <si>
    <t>HARSONO</t>
  </si>
  <si>
    <t>085217366744</t>
  </si>
  <si>
    <t>081324930570</t>
  </si>
  <si>
    <t xml:space="preserve">Tgl Masuk Agt : </t>
  </si>
  <si>
    <t>20 DES 2012</t>
  </si>
  <si>
    <t xml:space="preserve">Indramayu,  </t>
  </si>
  <si>
    <t>DATE</t>
  </si>
  <si>
    <t>SHU DIBAGI SESUAI MODAL DITANAM</t>
  </si>
  <si>
    <t>TOTAL SHU KOPERASI PER 31 DESEMBER 2012</t>
  </si>
  <si>
    <t>SHU 2012</t>
  </si>
  <si>
    <t>SHU DIBAGI PER 31 DESEMBER 2012</t>
  </si>
  <si>
    <t>35 % DIPERUNTUKAN ANGGOTA</t>
  </si>
  <si>
    <t>30 % DIPERUNTUKAN YYSN NS</t>
  </si>
  <si>
    <t>20 % DIPERUNTUKAN PENGURUS</t>
  </si>
  <si>
    <t>15% SHU DITAHAN</t>
  </si>
  <si>
    <t>TOTAL SHU PER 31 DES 2012</t>
  </si>
  <si>
    <t>SHU 31 DES 2012</t>
  </si>
  <si>
    <t>SHU</t>
  </si>
  <si>
    <t>00040</t>
  </si>
  <si>
    <t>081947278652</t>
  </si>
  <si>
    <t>085721023981</t>
  </si>
  <si>
    <t>SW Januari 2013</t>
  </si>
  <si>
    <t>SW Des.'12, Jan.'13</t>
  </si>
  <si>
    <t>SW Des '12, Jan.'13</t>
  </si>
  <si>
    <t>SW Feb 2013</t>
  </si>
  <si>
    <t>SAPI'IH</t>
  </si>
  <si>
    <t>BTN LAMA - KOMPLEK ARAMA PUTRI YATIM</t>
  </si>
  <si>
    <t>BTN LAMA - KOMPLEK ASRAMA YATIM PUTRI</t>
  </si>
  <si>
    <t>AL-URWATUL WUSQO - INDRAMAYU</t>
  </si>
  <si>
    <t>21/02/20013</t>
  </si>
  <si>
    <t>SW FEB.'13</t>
  </si>
  <si>
    <t>TOTAL / NERACA</t>
  </si>
  <si>
    <t>SW Maret 2013</t>
  </si>
  <si>
    <t>BURHANUDIN</t>
  </si>
  <si>
    <t>DESA PEKANDANGAN - INDRAMAYU</t>
  </si>
  <si>
    <t>INDRAMAYU</t>
  </si>
  <si>
    <t>07/03/20013</t>
  </si>
  <si>
    <t>SW MART'13</t>
  </si>
  <si>
    <t>Desa Pekandangan - Indramayu</t>
  </si>
  <si>
    <t>SW Jan s/d Mei '13</t>
  </si>
  <si>
    <t>SW Jan s/d Maret '13</t>
  </si>
  <si>
    <t>SW Feb s/d Mart '13</t>
  </si>
  <si>
    <t>SW April 2013</t>
  </si>
  <si>
    <t>SW Jan s/d Des '13</t>
  </si>
  <si>
    <t>SW Aprl '13</t>
  </si>
  <si>
    <t>SW Feb ~ Mart '13</t>
  </si>
  <si>
    <t>Pengembalian penanaman Modal Tahap I &amp; II</t>
  </si>
  <si>
    <t>HASIL BAGI HASIL ATAS PENANAMAN MODAL (SHOHIBUL MAAL) AN. H.SUPARLAN</t>
  </si>
  <si>
    <t>*) Atas permintaan Shohibul maal keuntungan dari penanaman modal (Shohibul Maal) ini untuk koperasi.</t>
  </si>
  <si>
    <t>Indramayu, 29 Juni  2012</t>
  </si>
  <si>
    <t xml:space="preserve">Total </t>
  </si>
  <si>
    <t>Dikembalikan Modal telah Jatuh Tempo</t>
  </si>
  <si>
    <t>Penanaman Modal Kembali</t>
  </si>
  <si>
    <t>SW 20 Bln Des11~Jun13</t>
  </si>
  <si>
    <t>SW Mei 2013</t>
  </si>
  <si>
    <t>SRI SAPTAWATI</t>
  </si>
  <si>
    <t>087727131166</t>
  </si>
  <si>
    <t>BLOK KIMANGKU DS TGLKARANG KEC.PALIMANAN</t>
  </si>
  <si>
    <t>BLOK KIMANGKU DS TGL KARANG</t>
  </si>
  <si>
    <t>PALIMANAN</t>
  </si>
  <si>
    <t>17/05/20013</t>
  </si>
  <si>
    <t>SW MEI '13</t>
  </si>
  <si>
    <t>SW Mei</t>
  </si>
  <si>
    <t xml:space="preserve">SS </t>
  </si>
  <si>
    <t>SW MEI 13</t>
  </si>
  <si>
    <t>SW s/d Juni '13</t>
  </si>
  <si>
    <t>SW s/d Juli '13</t>
  </si>
  <si>
    <t>DIMASUKAN KE BUKUBESAR DANA HIBAH. DANA INI DIPERUNTUKAN PRODUK KOPERASI "PINJAMAN QORDUN HASAN" JAZAKALLAHU KHOIRON</t>
  </si>
  <si>
    <t>SW Juni 2013</t>
  </si>
  <si>
    <t>085724477700</t>
  </si>
  <si>
    <t>SW Juni '13</t>
  </si>
  <si>
    <t>SW April ~ Mei</t>
  </si>
  <si>
    <t>SW Apr ~Jun'13</t>
  </si>
  <si>
    <t>SW FEB~Mart'13</t>
  </si>
  <si>
    <t>SW JUNI '13</t>
  </si>
  <si>
    <t>OTONG SURASMAN</t>
  </si>
  <si>
    <t xml:space="preserve">SINDANG CITRA </t>
  </si>
  <si>
    <t>21/06/20013</t>
  </si>
  <si>
    <t>ANGGOTA SIMPATISAN</t>
  </si>
  <si>
    <t>085220213964</t>
  </si>
  <si>
    <t>SW Juli Agustus'13</t>
  </si>
  <si>
    <t>SW Juli '13</t>
  </si>
  <si>
    <t>Sw Juli '13</t>
  </si>
  <si>
    <t>Tarik SS &amp; SHU</t>
  </si>
  <si>
    <t>NASIROH, Ny.</t>
  </si>
  <si>
    <t>Bangkir</t>
  </si>
  <si>
    <t>NASIROH</t>
  </si>
  <si>
    <t>BANGKIR</t>
  </si>
  <si>
    <t>21/07/20013</t>
  </si>
  <si>
    <t xml:space="preserve">SP  </t>
  </si>
  <si>
    <t>SW July~Agst,13</t>
  </si>
  <si>
    <t>SWArl~Sept, 13</t>
  </si>
  <si>
    <t>SW JUL ~ AGST</t>
  </si>
  <si>
    <t>SW agst ~ sept ,13</t>
  </si>
  <si>
    <t>IHFADZH DBM SULAIMAN</t>
  </si>
  <si>
    <t>PEKANDANGAN</t>
  </si>
  <si>
    <t>ANGGOTA BIASA</t>
  </si>
  <si>
    <t>087828506639</t>
  </si>
  <si>
    <t>089667081082</t>
  </si>
  <si>
    <t>Sindang Citra- Indramayu</t>
  </si>
  <si>
    <t>SW Agusts Fauzi</t>
  </si>
  <si>
    <t>SW NASIROH AGST - SEPT ,13</t>
  </si>
  <si>
    <t>SS NASIROH</t>
  </si>
  <si>
    <t>SWBurhanudin Agsts ~ Sept'13</t>
  </si>
  <si>
    <t>SW Dino</t>
  </si>
  <si>
    <t>SW September</t>
  </si>
  <si>
    <t>28/0/2013</t>
  </si>
  <si>
    <t>SW Sept '13</t>
  </si>
  <si>
    <t>SW okt '13 ~ Jan ,14</t>
  </si>
  <si>
    <t>SW Okt~Nop'13</t>
  </si>
  <si>
    <t>SW Sept ~ Okt Fauzi</t>
  </si>
  <si>
    <t>SW Okt~Nop13</t>
  </si>
  <si>
    <t>Bagi Hasil Shohibul Maal Atas Transaksi No.058 an. Wahyu HP</t>
  </si>
  <si>
    <t>Bagi Hasil Shohibul Maal Atas Transaksi No.059 an. Sultoni Pure It</t>
  </si>
  <si>
    <t>SW Okt, Nop.'13</t>
  </si>
  <si>
    <t xml:space="preserve">SW </t>
  </si>
  <si>
    <t>SW Okt. ~ Nop'13</t>
  </si>
  <si>
    <t>Bagi Hasil Shohibul Maal Atas Transaksi No.066 an. Dadang Kereta Bay</t>
  </si>
  <si>
    <t>IBU SRI</t>
  </si>
  <si>
    <t>Bagi Hasil Shohibul Maal Atas Transaksi No.061 an.Alkhairy Mito</t>
  </si>
  <si>
    <t>INDRA JULIYANTI</t>
  </si>
  <si>
    <t>PENARIKAN</t>
  </si>
  <si>
    <t>SHU 2013</t>
  </si>
  <si>
    <t>SHU 31 DES 2013</t>
  </si>
  <si>
    <t xml:space="preserve">SHU </t>
  </si>
  <si>
    <t>082129470900</t>
  </si>
  <si>
    <t>082118916060</t>
  </si>
  <si>
    <t>Penarikan SHU 2013</t>
  </si>
  <si>
    <t>TtD / PARAF</t>
  </si>
  <si>
    <t>DAFTAR HADIR</t>
  </si>
  <si>
    <t>SW Des'13~ Jan'14</t>
  </si>
  <si>
    <t>SW Okt'13 s/d Mart '14</t>
  </si>
  <si>
    <t>SW Feb~Mart</t>
  </si>
  <si>
    <t>SW DES</t>
  </si>
  <si>
    <t>SW Mujiono</t>
  </si>
  <si>
    <t>NURITO</t>
  </si>
  <si>
    <t>Tugu</t>
  </si>
  <si>
    <t>087828666517</t>
  </si>
  <si>
    <t>SW DES~JAN</t>
  </si>
  <si>
    <t>SW s/d Mrt'14</t>
  </si>
  <si>
    <t>SW Des'13 s/d Feb '14</t>
  </si>
  <si>
    <t>Ibu Kamisa</t>
  </si>
  <si>
    <t>Kalimati</t>
  </si>
  <si>
    <t>IBU KAMISA</t>
  </si>
  <si>
    <t>KALIMATI - JATIBARANG</t>
  </si>
  <si>
    <t>SW Januari 2014</t>
  </si>
  <si>
    <t>SW FEB</t>
  </si>
  <si>
    <t xml:space="preserve">SW Des ~ Jan </t>
  </si>
  <si>
    <t>SW Feb 2014</t>
  </si>
  <si>
    <t>SW Juli '13 s/d April'14</t>
  </si>
  <si>
    <t>Bagi Hasil Shohibul Maal Atas Transaksi No.060 an. YAYA</t>
  </si>
  <si>
    <t>SW Feb - Maret '14</t>
  </si>
  <si>
    <t>SW MARET APRIL</t>
  </si>
  <si>
    <t>SW Mart s/d April '14</t>
  </si>
  <si>
    <t>SS Fudy</t>
  </si>
  <si>
    <t>SW Mei - Juni'14</t>
  </si>
  <si>
    <t>SW Jan ~ Agus'14</t>
  </si>
  <si>
    <t>SW Apr-Mei'14</t>
  </si>
  <si>
    <t>SW Juli '14</t>
  </si>
  <si>
    <t>HERI MAULANA</t>
  </si>
  <si>
    <t>Jl. Ir.H.Juanda Singaraja</t>
  </si>
  <si>
    <t>085724403929</t>
  </si>
  <si>
    <t>SW Apr'14 s/d Jul '14</t>
  </si>
  <si>
    <t>SW Juni ~ Juli</t>
  </si>
  <si>
    <t>SW s/d Des'14</t>
  </si>
  <si>
    <t>ROSSY YULIA SARI</t>
  </si>
  <si>
    <t>Jl. MERAH DELIMA E-8</t>
  </si>
  <si>
    <t>PABEAN UDIK - INDRAMAYU</t>
  </si>
  <si>
    <t>082127127133</t>
  </si>
  <si>
    <t>SW Maret 2014</t>
  </si>
  <si>
    <t>SW 7&amp;8/14</t>
  </si>
  <si>
    <t>TARIK</t>
  </si>
  <si>
    <t>0811242574</t>
  </si>
  <si>
    <t>SW s/d Des'2014</t>
  </si>
  <si>
    <t xml:space="preserve">Tarik SS </t>
  </si>
  <si>
    <t>SW s/d Juni'14</t>
  </si>
  <si>
    <t>SW Fudhy s/d Agst'14</t>
  </si>
  <si>
    <t>SW Agust-Sept</t>
  </si>
  <si>
    <t>SW Okt.</t>
  </si>
  <si>
    <t>SW April - Mei '14</t>
  </si>
  <si>
    <t>SW9&amp;10/14</t>
  </si>
  <si>
    <t>SW Fudhy s/dNop'14</t>
  </si>
  <si>
    <t>SW s/d Des 2014</t>
  </si>
  <si>
    <t>SW sd Nop 14</t>
  </si>
  <si>
    <t>RONI SAPUTRA</t>
  </si>
  <si>
    <t>Blok Karang Anyar 008/004</t>
  </si>
  <si>
    <t>Sekar Mulya Gabus Wetan Im.</t>
  </si>
  <si>
    <t>082318881870</t>
  </si>
  <si>
    <t>SW Des'14, Jan'15</t>
  </si>
  <si>
    <t>SHU utk SW -Mei '13</t>
  </si>
  <si>
    <t>SW s/d Mei 2014</t>
  </si>
  <si>
    <t>SW Okt-Des</t>
  </si>
  <si>
    <t>SW 11,12'2014</t>
  </si>
  <si>
    <t>AGUS SALIM</t>
  </si>
  <si>
    <t>Blok Karang baru blok bumi patra</t>
  </si>
  <si>
    <t>Singa Jaya - Indramayu</t>
  </si>
  <si>
    <t>081322326975</t>
  </si>
  <si>
    <t>SADI RISWANTO</t>
  </si>
  <si>
    <t>Blok KETAPANG</t>
  </si>
  <si>
    <t>BOJONGSARI - INDRAMAYU</t>
  </si>
  <si>
    <t>08974984767</t>
  </si>
  <si>
    <t>SW AGST - SEPT</t>
  </si>
  <si>
    <t>SHU DIBAGI PER 31 DESEMBER 2014</t>
  </si>
  <si>
    <t>40 % DIPERUNTUKAN ANGGOTA</t>
  </si>
  <si>
    <t>20 % DIPERUNTUKAN YYSN NS</t>
  </si>
  <si>
    <t>15 % SHU DITAHAN UNTUK  MODAL CAD. KOP.</t>
  </si>
  <si>
    <t>10% DIPERUNTUKAN KEPENGURUSAN</t>
  </si>
  <si>
    <t>5% DANA KESEJAHTERAAN KARYAWAN</t>
  </si>
  <si>
    <t>5% DIPERUNTUKAN PENDIDIKAN KOPERASI</t>
  </si>
  <si>
    <t>5% DIPERUNTUKAN DANA SOSIAL</t>
  </si>
  <si>
    <t>TOTAL SHU PER 31 DES 2014</t>
  </si>
  <si>
    <t>TOTAL SHU KOPERASI PER 31 DESEMBER 2014</t>
  </si>
  <si>
    <t>Selisih Modal atas bagi hasil 2014</t>
  </si>
  <si>
    <t>NILAI PERHITUNGAN DIATAS AKAN BERUBAH SESUAI BERTAMBAHNYA SIMPANAN AGT</t>
  </si>
  <si>
    <t>PERHITUNGAN DIATAS DIHITUNG SESUAI SIMPANAN TERTANAM PER 31 DES 2014</t>
  </si>
  <si>
    <t>SHU 2014</t>
  </si>
  <si>
    <t>SHU 31 DES 2014</t>
  </si>
  <si>
    <t>DIBAGIKAN KE TABUNGAN</t>
  </si>
  <si>
    <t>DISERAHKAN KE YYSN NS</t>
  </si>
  <si>
    <t>MASUK NERACA</t>
  </si>
  <si>
    <t>UNTUK PENGURUS</t>
  </si>
  <si>
    <t>SS Pa Budi</t>
  </si>
  <si>
    <t>SW Juni 2014</t>
  </si>
  <si>
    <t>SW Feb-Mrt'15</t>
  </si>
  <si>
    <t>Tarik masuk ke SS</t>
  </si>
  <si>
    <t>RUSIDIN</t>
  </si>
  <si>
    <t>BLOK KETOK II</t>
  </si>
  <si>
    <t>SW Jan'15,</t>
  </si>
  <si>
    <t>SW Sept-Febr'15</t>
  </si>
  <si>
    <t>SW Feb ~ Mei 2014</t>
  </si>
  <si>
    <t>SW Feb', Mart'15</t>
  </si>
  <si>
    <t>SW Jan'15</t>
  </si>
  <si>
    <t>FIRMAN</t>
  </si>
  <si>
    <t>JL. IR JUANDA No. 6</t>
  </si>
  <si>
    <t>SINGA JAYA INDRAMAYU</t>
  </si>
  <si>
    <t>081912952897</t>
  </si>
  <si>
    <t>SW Feb'15,</t>
  </si>
  <si>
    <t>0819530360703</t>
  </si>
  <si>
    <t>SP</t>
  </si>
  <si>
    <t>TARSONO</t>
  </si>
  <si>
    <t>DUSUN II SUKADEDEL GG KIBUBAT</t>
  </si>
  <si>
    <t>TERUSAN - INDRAMAYU</t>
  </si>
  <si>
    <t>087718821963</t>
  </si>
  <si>
    <t>SYARIF HIDAYATULLAH</t>
  </si>
  <si>
    <t>SINGAJAYA - INDRAMAYU</t>
  </si>
  <si>
    <t>SUMITRO</t>
  </si>
  <si>
    <t>Tarik SS Via Transfer BM</t>
  </si>
  <si>
    <t>SW JAN-APR '15</t>
  </si>
  <si>
    <t>SW s/d Nop 2014</t>
  </si>
  <si>
    <t>HARIS CANDRASYAH</t>
  </si>
  <si>
    <t>BLOK KEPOLO</t>
  </si>
  <si>
    <t>SINGARAJA - INDRAMAYU</t>
  </si>
  <si>
    <t>SW RONI</t>
  </si>
  <si>
    <t>SS RONI</t>
  </si>
  <si>
    <t>SW MITRO</t>
  </si>
  <si>
    <t>SW TARSONO APRL MEI</t>
  </si>
  <si>
    <t>SSTARSONO</t>
  </si>
  <si>
    <t>SW Apr-Mei'15</t>
  </si>
  <si>
    <t>SWMrt - Aprl</t>
  </si>
  <si>
    <t>SW Aprl - Mei</t>
  </si>
  <si>
    <t>SW Dino sd Des '13</t>
  </si>
  <si>
    <t>SW sd. Juli '13</t>
  </si>
  <si>
    <t>ANGGOTA</t>
  </si>
  <si>
    <t>H. EDI R</t>
  </si>
  <si>
    <t>TUGU - SLIYEG</t>
  </si>
  <si>
    <t>SW JUN - JULI'15</t>
  </si>
  <si>
    <t>SW MEI JUNI'15</t>
  </si>
  <si>
    <t>AHMAD HAMZAH</t>
  </si>
  <si>
    <t>SINGAJAYA</t>
  </si>
  <si>
    <t>EKY ZAKARIA</t>
  </si>
  <si>
    <t>AKAMIGAS</t>
  </si>
  <si>
    <t>SW Fudhy sd. Juli 2015</t>
  </si>
  <si>
    <t>SW Dino sd Des '14</t>
  </si>
  <si>
    <t>SW Juni - Jul</t>
  </si>
  <si>
    <t>SW Fudy Agst sept'15</t>
  </si>
  <si>
    <t>M. GOZALI</t>
  </si>
  <si>
    <t>SW s/d Agst 15</t>
  </si>
  <si>
    <t>SW Juli - Agst</t>
  </si>
  <si>
    <t>AWAN N.</t>
  </si>
  <si>
    <t>SINGA JAYA</t>
  </si>
  <si>
    <t>SW 10 bln - Des'15</t>
  </si>
  <si>
    <t>SW Syarif</t>
  </si>
  <si>
    <t>SW Sudirman</t>
  </si>
  <si>
    <t>SW Haris</t>
  </si>
  <si>
    <t>SW Firman</t>
  </si>
  <si>
    <t>SW Sadi</t>
  </si>
  <si>
    <t>SW Syafii</t>
  </si>
  <si>
    <t>SW s/d Mart 2015</t>
  </si>
  <si>
    <t>FEBI ANDRIAN</t>
  </si>
  <si>
    <t>TOKO MAS VINA</t>
  </si>
  <si>
    <t>ITA</t>
  </si>
  <si>
    <t>TARMIDZI</t>
  </si>
  <si>
    <t>s/d 11/2015</t>
  </si>
  <si>
    <t>SW Agst-Sept</t>
  </si>
  <si>
    <t>SW Sept</t>
  </si>
  <si>
    <t>SW sd DES 15</t>
  </si>
  <si>
    <t>SW Mei - Agst'15</t>
  </si>
  <si>
    <t>SW Fudy Okt - Des'15</t>
  </si>
  <si>
    <t>SW Ahmad Hamzah</t>
  </si>
  <si>
    <t>SW Mitro</t>
  </si>
  <si>
    <t>MUHAMMAD ABD. GHONI</t>
  </si>
  <si>
    <t>KALIMATI</t>
  </si>
  <si>
    <t>SW Okt-Nop</t>
  </si>
  <si>
    <t>SW Aprl-Des 2014</t>
  </si>
  <si>
    <t>SW Jan-Des'15</t>
  </si>
  <si>
    <t>SW Jan 16</t>
  </si>
  <si>
    <t>SHU DIBAGI PER 31 DESEMBER 2015</t>
  </si>
  <si>
    <t>30 % DIPERUNTUKAN ANGGOTA</t>
  </si>
  <si>
    <t>20% DIPERUNTUKAN KEPENGURUSAN</t>
  </si>
  <si>
    <t>SHU DES 2015</t>
  </si>
  <si>
    <t>SHU 2015</t>
  </si>
  <si>
    <t>SW/SS</t>
  </si>
  <si>
    <t>SW s/d Feb 2016</t>
  </si>
  <si>
    <t>SW Des-Jan'16</t>
  </si>
  <si>
    <t>SW Nop'15</t>
  </si>
  <si>
    <t>SW SEP -DES 15</t>
  </si>
  <si>
    <t>SW Jan-Feb'16</t>
  </si>
  <si>
    <t>SW Jan-Feb '16</t>
  </si>
  <si>
    <t>SHU 31 DES 2015</t>
  </si>
  <si>
    <t>Sw</t>
  </si>
  <si>
    <t>Tarik SHU</t>
  </si>
  <si>
    <t>SW Jan-Mar 16</t>
  </si>
  <si>
    <t>SW-Jun'16</t>
  </si>
  <si>
    <t>SW Feb-Mar'16</t>
  </si>
  <si>
    <t>SW Juni-Agst 2014</t>
  </si>
  <si>
    <t>SW s/d Apr 2016</t>
  </si>
  <si>
    <t>SW Apr-Mei '16</t>
  </si>
  <si>
    <t>Fudy</t>
  </si>
  <si>
    <t>SW sept s/d Febr'16</t>
  </si>
  <si>
    <t>SW Agus</t>
  </si>
  <si>
    <t>SW &amp; SS</t>
  </si>
  <si>
    <t>SW Feb-Mrt'16</t>
  </si>
  <si>
    <t>KHUSEN</t>
  </si>
  <si>
    <t>Desa Krasak</t>
  </si>
  <si>
    <t>sw Juni-Juli</t>
  </si>
  <si>
    <t>SW Jan-Agst 2016</t>
  </si>
  <si>
    <t>Jumaidin SW,SS</t>
  </si>
  <si>
    <t>Syafii SW</t>
  </si>
  <si>
    <t>SW Roni</t>
  </si>
  <si>
    <t>SW Edi</t>
  </si>
  <si>
    <t>SW&amp;SS Jumaidin</t>
  </si>
  <si>
    <t>SW Nasiroh 14/9/2016 200.000,</t>
  </si>
  <si>
    <t>SW Bpk. Syafii</t>
  </si>
  <si>
    <t>SW Haris 25.000 SW Sudirman 25.000</t>
  </si>
  <si>
    <t>SW Sumitro</t>
  </si>
  <si>
    <t>SW Fudhy</t>
  </si>
  <si>
    <t>SW MBA KAM Agst-Sept'16</t>
  </si>
  <si>
    <t>SS &amp; SW</t>
  </si>
  <si>
    <t>SW s/d Feb 2017</t>
  </si>
  <si>
    <t>SW Fudhy Agst - Sept'16</t>
  </si>
  <si>
    <t>SHU 2016</t>
  </si>
  <si>
    <t>SHU DIBAGI PER 31 DESEMBER 2016</t>
  </si>
  <si>
    <t>TOTAL SHU PER 31 DES 2016</t>
  </si>
  <si>
    <t>SW Jumaidin &amp; SS</t>
  </si>
  <si>
    <t>SW Mba Kam</t>
  </si>
  <si>
    <t>SHU DES 2016</t>
  </si>
  <si>
    <t>SHU 31 DES 2016</t>
  </si>
  <si>
    <t>Penerima,</t>
  </si>
  <si>
    <t>AGT. KELUAR</t>
  </si>
  <si>
    <t>AGT. PASIVE</t>
  </si>
  <si>
    <t>AGT. AKTIVE</t>
  </si>
  <si>
    <t>TOTAL AGT</t>
  </si>
  <si>
    <t>SW Bpk Syafi'i</t>
  </si>
  <si>
    <t>astra</t>
  </si>
  <si>
    <t>CASTRA MIHARJA</t>
  </si>
  <si>
    <t>Jl. Krg Sawah 1 No. 2 RT03/04 Margadadi</t>
  </si>
  <si>
    <t>ADANG RONAYANTO</t>
  </si>
  <si>
    <t>DS. DERMAYU RT 03/01</t>
  </si>
  <si>
    <t>SW Feb, Maret</t>
  </si>
  <si>
    <t>Tarik Pengunduran diri                                   Indramayu, .............2017</t>
  </si>
  <si>
    <t>SW Feb 2017</t>
  </si>
  <si>
    <t>SW &amp; SS 12.000</t>
  </si>
  <si>
    <t>SW Jan-Mar17</t>
  </si>
  <si>
    <t>SW RONI Jan-Mei17</t>
  </si>
  <si>
    <t>NAZARUDDIN</t>
  </si>
  <si>
    <t>PERUM JANGKAR MAS BLOK E NO 34</t>
  </si>
  <si>
    <t>085321890972</t>
  </si>
  <si>
    <t>sw</t>
  </si>
  <si>
    <t>QARD</t>
  </si>
  <si>
    <t>SUKARELA AQAD QARD</t>
  </si>
  <si>
    <t>TELAH DILAKUKAN PENARIKAN UTK :</t>
  </si>
  <si>
    <t>M.POKOK</t>
  </si>
  <si>
    <t>M. WAJIB</t>
  </si>
  <si>
    <t>NO. URUT</t>
  </si>
  <si>
    <t>HIBAH QARDUN HASAN</t>
  </si>
  <si>
    <t>KOPERASI SERBA USAHA AL-FAWAID</t>
  </si>
  <si>
    <t>Tarik untuk Hibah QH</t>
  </si>
  <si>
    <t>Tarik untuk RAT Beban Anggota</t>
  </si>
  <si>
    <t>BTN LAMA - KOMPLEK ASRAMA PUTRI YATIM</t>
  </si>
  <si>
    <t>MODAL KOPERASI ALFAWAID</t>
  </si>
  <si>
    <t>SS Jadi SW 2014</t>
  </si>
  <si>
    <t>SS Jadi SW 2015</t>
  </si>
  <si>
    <t>SS Jadi SW 2016</t>
  </si>
  <si>
    <t>MAKMURI</t>
  </si>
  <si>
    <t>DS. SINGAJAYA</t>
  </si>
  <si>
    <t>08782882654</t>
  </si>
  <si>
    <t>QH &amp; RAT</t>
  </si>
  <si>
    <t>SW MUJI (+MP 200rb)</t>
  </si>
  <si>
    <t>SW s/d Febr 12(u/+MP)</t>
  </si>
  <si>
    <t>SW s/d Nop 12 (u/+MP)</t>
  </si>
  <si>
    <t>Simpanan Wajib/SP</t>
  </si>
  <si>
    <t>SW s/d Feb'13/SP</t>
  </si>
  <si>
    <t>Narito</t>
  </si>
  <si>
    <t>H. Castra</t>
  </si>
  <si>
    <t>Adang</t>
  </si>
  <si>
    <t>Sumitro</t>
  </si>
  <si>
    <t>Roni</t>
  </si>
  <si>
    <t>H. Edi Ro</t>
  </si>
  <si>
    <t>Agus Salim</t>
  </si>
  <si>
    <t>Makmuri</t>
  </si>
  <si>
    <t>SW&amp;SS</t>
  </si>
  <si>
    <t>TANDA TANGAN</t>
  </si>
  <si>
    <t>ALAMAT</t>
  </si>
  <si>
    <t>NO HP</t>
  </si>
  <si>
    <t>DAFTAR HADIR ANGGOTA</t>
  </si>
  <si>
    <t>RAPAT PENDIRIAN KOPERASI AL FAWAID INDRAMAYU</t>
  </si>
  <si>
    <t>Indramayu, 21 Oktober 2017</t>
  </si>
  <si>
    <t>082306766687</t>
  </si>
  <si>
    <t>PEKANDANGAN, Indramayu</t>
  </si>
  <si>
    <t>Jl. Ahmad Yani - Indramayu</t>
  </si>
  <si>
    <t>089646862389</t>
  </si>
  <si>
    <t>Singa Raja - Indramayu</t>
  </si>
  <si>
    <t>DIAN MAULANA</t>
  </si>
  <si>
    <t>089505230367</t>
  </si>
  <si>
    <t>SARNIT</t>
  </si>
  <si>
    <t/>
  </si>
  <si>
    <t>Nurito</t>
  </si>
  <si>
    <t>Pindah Buku dari SW ke SP</t>
  </si>
  <si>
    <t>Tarik Utk QH(HIBAH) &amp; RAT</t>
  </si>
  <si>
    <t>Pindah Buku swkeSP</t>
  </si>
  <si>
    <t>HIBA QH &amp; BOP RAT</t>
  </si>
  <si>
    <t>BOP RAT</t>
  </si>
  <si>
    <t>Pindah Buku dari Swke SP</t>
  </si>
  <si>
    <t>AQAD MUDHARABAH</t>
  </si>
  <si>
    <t>MUDHARABAH</t>
  </si>
  <si>
    <t>12/31/2013</t>
  </si>
  <si>
    <t>12/31/2014</t>
  </si>
  <si>
    <t>12/31/2015</t>
  </si>
  <si>
    <t>12/31/2016</t>
  </si>
  <si>
    <t>SW nop 2017</t>
  </si>
  <si>
    <t>Setor SMPOKOK</t>
  </si>
  <si>
    <t>Setor SMWAJIB Nop 17 - Agust 2018</t>
  </si>
  <si>
    <t>SW NOP 17 s/d Agus 18</t>
  </si>
  <si>
    <t>SW Agst</t>
  </si>
  <si>
    <t>Sw Okt.</t>
  </si>
  <si>
    <t>SW Nop 17</t>
  </si>
  <si>
    <t>SW Nop17</t>
  </si>
  <si>
    <t>SW PERIODE NOV'17 S/D DES'18</t>
  </si>
  <si>
    <t>Koperasi AL FAWAAID</t>
  </si>
  <si>
    <t>Setor SW 1 Thn Nov.'17 s/d Okt. '18</t>
  </si>
  <si>
    <t>ANDI SUSILAYADI</t>
  </si>
  <si>
    <t>Setor SP300,Nov17-Maret'18</t>
  </si>
  <si>
    <t>IWAN SOSIAWAN</t>
  </si>
  <si>
    <t>TERUSAN -SINDANG</t>
  </si>
  <si>
    <t>Setor SW Nov 17 s/d Aprl'18</t>
  </si>
  <si>
    <t>SW Nov 2017 &amp; SS</t>
  </si>
  <si>
    <t>SW Nop, Des 17</t>
  </si>
  <si>
    <t>SW Nop 2017</t>
  </si>
  <si>
    <t>SW Nop, Des 17, Jan,Feb 18</t>
  </si>
  <si>
    <t>SW Nov</t>
  </si>
  <si>
    <t>SW DES'17-JAN18</t>
  </si>
  <si>
    <t>SPOKOK</t>
  </si>
  <si>
    <t>SW NOP-DES 17</t>
  </si>
  <si>
    <t>SW DES 17</t>
  </si>
  <si>
    <t>YANUAR ESVERANZA</t>
  </si>
  <si>
    <t>JL. R SUDIBYO NO.30</t>
  </si>
  <si>
    <t>JAMALI</t>
  </si>
  <si>
    <t>SW Nop-Des17</t>
  </si>
  <si>
    <t>SW Nov17</t>
  </si>
  <si>
    <t>SW Nov 17</t>
  </si>
  <si>
    <t>SUKRISNO</t>
  </si>
  <si>
    <t>DSN DESA RT 03 RW 01 PLUMBON</t>
  </si>
  <si>
    <t>SW Nov 17 sd Mei 18</t>
  </si>
  <si>
    <t>SW Des17</t>
  </si>
  <si>
    <t>SW Jan 18</t>
  </si>
  <si>
    <t>SW Jan</t>
  </si>
  <si>
    <t>Jan</t>
  </si>
  <si>
    <t>Tarik SS</t>
  </si>
  <si>
    <t>2 Lbr Sertifikat</t>
  </si>
  <si>
    <t>SW Des</t>
  </si>
  <si>
    <t>SW Feb-Mrt'18</t>
  </si>
  <si>
    <t>SW Feb 18</t>
  </si>
  <si>
    <t>SW Des 17</t>
  </si>
  <si>
    <t>SW Jan '18</t>
  </si>
  <si>
    <t>SW Des '17</t>
  </si>
  <si>
    <t>SW FEB.'18</t>
  </si>
  <si>
    <t>SW Maret</t>
  </si>
  <si>
    <t>SW Fudhy Maret18</t>
  </si>
  <si>
    <t>SW Mart 18</t>
  </si>
  <si>
    <t>Feb</t>
  </si>
  <si>
    <t>SW Des-Maret 2018</t>
  </si>
  <si>
    <t>SW Feb, 18</t>
  </si>
  <si>
    <t>Mar</t>
  </si>
  <si>
    <t>SW Maret 2018</t>
  </si>
  <si>
    <t>SUKRISNA</t>
  </si>
  <si>
    <t>SW April 2018</t>
  </si>
  <si>
    <t>SW April</t>
  </si>
  <si>
    <t>SW Febr</t>
  </si>
  <si>
    <t>SW Feb</t>
  </si>
  <si>
    <t>April</t>
  </si>
  <si>
    <t xml:space="preserve">SW Mei Juni Juli 18 </t>
  </si>
  <si>
    <t>SW Mei Juni 18</t>
  </si>
  <si>
    <t>SW Mrt April 2018</t>
  </si>
  <si>
    <t>SW Mei 18</t>
  </si>
  <si>
    <t>SYAHRONI HERI PURWONO</t>
  </si>
  <si>
    <t>087727915754</t>
  </si>
  <si>
    <t>Desa Terusan RT 05 RW 02 Sindang Im</t>
  </si>
  <si>
    <t>May</t>
  </si>
  <si>
    <t>SW Maret - Mei 18</t>
  </si>
  <si>
    <t>SW Maret 18</t>
  </si>
  <si>
    <t>SW April 18</t>
  </si>
  <si>
    <t>SW mei Jun 18</t>
  </si>
  <si>
    <t xml:space="preserve">SP 300 </t>
  </si>
  <si>
    <t>June</t>
  </si>
  <si>
    <t>TOMI DELSA</t>
  </si>
  <si>
    <t>FAHMI KHAERUL</t>
  </si>
  <si>
    <t>TOMI SYUJA</t>
  </si>
  <si>
    <t>SW JUni 18</t>
  </si>
  <si>
    <t>SW Juli 18</t>
  </si>
  <si>
    <t>July</t>
  </si>
  <si>
    <t>SW DES-JAN18</t>
  </si>
  <si>
    <t>SW Agst 18</t>
  </si>
  <si>
    <t>SW Mei Jun 18</t>
  </si>
  <si>
    <t>SW Agst-Nov 18.</t>
  </si>
  <si>
    <t>SW Juni Juli 18</t>
  </si>
  <si>
    <t>SW Sept 18</t>
  </si>
  <si>
    <t>Agst</t>
  </si>
  <si>
    <t>Untuk HIBAH &amp; RAT</t>
  </si>
  <si>
    <t>FAHMI</t>
  </si>
  <si>
    <t>SW Agst Sep</t>
  </si>
  <si>
    <t>SW Roni Apr-Sept</t>
  </si>
  <si>
    <t>SW Feb - mart 18</t>
  </si>
  <si>
    <t>SW Okt 18</t>
  </si>
  <si>
    <t>SW Agustus 18</t>
  </si>
  <si>
    <t>Sept</t>
  </si>
  <si>
    <t>SW Des 18 - Jan 19</t>
  </si>
  <si>
    <t>SW Agst-Sept 2018</t>
  </si>
  <si>
    <t>SW OKT 18 &amp; SS</t>
  </si>
  <si>
    <t>DANINGSIH</t>
  </si>
  <si>
    <t>JL. Yos Sudarso 8B PAOMAN</t>
  </si>
  <si>
    <t>Okt. 18</t>
  </si>
  <si>
    <t>Modal Wajib</t>
  </si>
  <si>
    <t>MW Nop 18</t>
  </si>
  <si>
    <t>SW Okt-Jan 2019</t>
  </si>
  <si>
    <t>SW Juni 18</t>
  </si>
  <si>
    <t>SW Nop 2018 &amp; ss</t>
  </si>
  <si>
    <t>MW DES 18</t>
  </si>
  <si>
    <t>SW Des 2018 &amp; ss</t>
  </si>
  <si>
    <t>SW sd Agustus 2018</t>
  </si>
  <si>
    <t>KAMAL</t>
  </si>
  <si>
    <t>INDRAMYU</t>
  </si>
  <si>
    <t xml:space="preserve">ANGGOTA </t>
  </si>
  <si>
    <t>MP</t>
  </si>
  <si>
    <t>ENDANG RUMIYANTI</t>
  </si>
  <si>
    <t>JL. MT Haryono 003/001 Dermayu</t>
  </si>
  <si>
    <t>Sindang - Indramayu</t>
  </si>
  <si>
    <t>Modal Pokok</t>
  </si>
  <si>
    <t>Indramayu,</t>
  </si>
  <si>
    <t>087717959090</t>
  </si>
  <si>
    <t>087828644417</t>
  </si>
  <si>
    <t>087828791418</t>
  </si>
  <si>
    <t>Nop &amp; Des 18</t>
  </si>
  <si>
    <t xml:space="preserve">Koperasi Syariah Al Fawaaid Indramayu </t>
  </si>
  <si>
    <t>AWALUDIN</t>
  </si>
  <si>
    <t>Jl. IR JUANDA Simpang Tiga Singaraja</t>
  </si>
  <si>
    <t>KUNTORINI</t>
  </si>
  <si>
    <t>JL. Alamanda Biru C.01</t>
  </si>
  <si>
    <t>Margadadi - Indramayu</t>
  </si>
  <si>
    <t>Modal Wajib Okt 18</t>
  </si>
  <si>
    <t>tambahan modal pokok</t>
  </si>
  <si>
    <t>Modal wajib bln nov 2017</t>
  </si>
  <si>
    <t>Koperasi Syariah AL FAWAAID</t>
  </si>
  <si>
    <t>Koperasi AL FAWAAID,</t>
  </si>
  <si>
    <t xml:space="preserve">Koperasi Syariah Alfawaaid </t>
  </si>
  <si>
    <t>Koperasi Alfawaaid,</t>
  </si>
  <si>
    <t>MW Jan 19</t>
  </si>
  <si>
    <t>MW Feb 19</t>
  </si>
  <si>
    <t>SW 1Th 2018</t>
  </si>
  <si>
    <t>SW Jan - Feb 19</t>
  </si>
  <si>
    <t>SW Roni Okt'18-Me'19</t>
  </si>
  <si>
    <t>MOHAMMAD ABDAN SYAKURO</t>
  </si>
  <si>
    <t>MPOKOK</t>
  </si>
  <si>
    <t>MWAJIB</t>
  </si>
  <si>
    <t>HERYANA RINALDI HIDAYAT</t>
  </si>
  <si>
    <t>Grand Royal Resident No. B-1 Indramayu</t>
  </si>
  <si>
    <t>081325151533</t>
  </si>
  <si>
    <t xml:space="preserve">Indramayu, </t>
  </si>
  <si>
    <t xml:space="preserve">Pokok </t>
  </si>
  <si>
    <t>Tarik u, Hibah &amp; RAT</t>
  </si>
  <si>
    <t>Tarik untu dana hibah &amp; RAT</t>
  </si>
  <si>
    <t>WARNO</t>
  </si>
  <si>
    <t>JL. Letnan Sutejo No. 6/C Margadadi</t>
  </si>
  <si>
    <t>081912417122</t>
  </si>
  <si>
    <t>081213607081</t>
  </si>
  <si>
    <t>PENYERTA MODAL</t>
  </si>
  <si>
    <t>Penyerta Modal</t>
  </si>
  <si>
    <t>ZULFIKAR AMRI</t>
  </si>
  <si>
    <t>Jl.Bontang I no 42 Bumi Patra</t>
  </si>
  <si>
    <t>087718852369</t>
  </si>
  <si>
    <t>Tgl Masuk Agt :</t>
  </si>
  <si>
    <t>Koperasi Al Fawaaid Indramayu,</t>
  </si>
  <si>
    <t>Koperasi Alfawaaid Indramayu</t>
  </si>
  <si>
    <t>085315551999</t>
  </si>
  <si>
    <t>081222266604</t>
  </si>
  <si>
    <t>085224819421</t>
  </si>
  <si>
    <t>085321210006</t>
  </si>
  <si>
    <t>089661104570</t>
  </si>
  <si>
    <t>087727722110</t>
  </si>
  <si>
    <t>Rossy SS</t>
  </si>
  <si>
    <t>Rossy SW</t>
  </si>
  <si>
    <t>SW sd Juni 18</t>
  </si>
  <si>
    <t>SW Maret - April 19</t>
  </si>
  <si>
    <t>IMAS KOMALASARI</t>
  </si>
  <si>
    <t xml:space="preserve">JL. Cengkir V No. 15 GAU Singajaya </t>
  </si>
  <si>
    <t>082218611002</t>
  </si>
  <si>
    <t>Koperasi Syariah Al Fawaaid</t>
  </si>
  <si>
    <t>Koperasi Alfawaaid</t>
  </si>
  <si>
    <t>MW</t>
  </si>
  <si>
    <t>SW Sept - Des 19</t>
  </si>
  <si>
    <t>Koperasi Al Fawaaid</t>
  </si>
  <si>
    <t>SW Jan-Feb</t>
  </si>
  <si>
    <t>ACHMAD RIFA'I</t>
  </si>
  <si>
    <t>Blok Pasar Pabean Girang Kandang Haur</t>
  </si>
  <si>
    <t>081510377990</t>
  </si>
  <si>
    <t>Tgl Masuk Agt : 05 Maret 2019</t>
  </si>
  <si>
    <t>Koperasi Al Fawaaid Indramayu</t>
  </si>
  <si>
    <t>DIDIET PURWODADI DARSONO</t>
  </si>
  <si>
    <t>Jl. Mayor Dasuki 56 Penganjang Sindang</t>
  </si>
  <si>
    <t>087878117773</t>
  </si>
  <si>
    <t>MW Mret Aprl 19</t>
  </si>
  <si>
    <t>MOHAMMAD RIZKI RACHMAN</t>
  </si>
  <si>
    <t>Jl. Manunggal RT 015/RW 001 Deramayu Sindang</t>
  </si>
  <si>
    <t>082115917470</t>
  </si>
  <si>
    <t>Tgl Masuk Agt : 12 Maret 2019</t>
  </si>
  <si>
    <t>MAMAN NUROHMAN</t>
  </si>
  <si>
    <t>JL. Perjuangan RT 003/RW 001 Bojong Sari</t>
  </si>
  <si>
    <t>081911147478</t>
  </si>
  <si>
    <t>Tgl Masuk Agt : 16 Maret 2019</t>
  </si>
  <si>
    <t>SHU 2018</t>
  </si>
  <si>
    <t>SW &amp;SS</t>
  </si>
  <si>
    <t>SAEPUDIN</t>
  </si>
  <si>
    <t>00101</t>
  </si>
  <si>
    <t>KP GARUNGGANG RT 004 RW 003</t>
  </si>
  <si>
    <t>NEGLASARI JATIWARAS - TASIK MALAYA</t>
  </si>
  <si>
    <t>Tgl Masuk Agt : 11 APRIL 2019</t>
  </si>
  <si>
    <t>Indramayu, 11 April 2019</t>
  </si>
  <si>
    <t>Koperasi Konsumen Alfawaaid Indramayu</t>
  </si>
  <si>
    <t>0895324777145</t>
  </si>
  <si>
    <t>Blok C RT 027/RW007 Rambatan Wetan</t>
  </si>
  <si>
    <t>08382347387</t>
  </si>
  <si>
    <t>Tgl Masuk Agt : 11 April 2019</t>
  </si>
  <si>
    <t>Koperasi ALFAWAAID</t>
  </si>
  <si>
    <t>QOULAN SADIDAN</t>
  </si>
  <si>
    <t>0895324375200</t>
  </si>
  <si>
    <t>ITA ROSYITA SARI</t>
  </si>
  <si>
    <t xml:space="preserve">Komp. Bima Garden A20 Kalikoa Kedawung </t>
  </si>
  <si>
    <t>Cirebon</t>
  </si>
  <si>
    <t>081802121998</t>
  </si>
  <si>
    <t>Tgl Masuk Agt : 15 April 2019</t>
  </si>
  <si>
    <t>Indramayu, 15 April  2019</t>
  </si>
  <si>
    <t>CASDIMAN</t>
  </si>
  <si>
    <t>BLOK SUKA TANI BANGO DUA RT008/RW004</t>
  </si>
  <si>
    <t>Tgl Masuk Agt : 2 Mei 2019</t>
  </si>
  <si>
    <t>Indramayu, 02 Mei 2019</t>
  </si>
  <si>
    <t>0877241031498</t>
  </si>
  <si>
    <t>Modal Wajib &amp; SS</t>
  </si>
  <si>
    <t>SW Sd. Des 2019</t>
  </si>
  <si>
    <t>MASHURI</t>
  </si>
  <si>
    <t>PERUM BALONGAN PRATAMA B5 No. 8</t>
  </si>
  <si>
    <t>Jl. Kecubung Wulung - Tegal Lurung - Indrmayu</t>
  </si>
  <si>
    <t>Tgl Masuk Agt : 20 Mei 2019</t>
  </si>
  <si>
    <t>Indramayu, 20 Mei 2019</t>
  </si>
  <si>
    <t>ENDRI</t>
  </si>
  <si>
    <t>BLOK KARANG BARU TIMUR DS LOBENER RT 02 RW 01</t>
  </si>
  <si>
    <t>Jatibarang - Indrmayu</t>
  </si>
  <si>
    <t>0816527577</t>
  </si>
  <si>
    <t>085295577079</t>
  </si>
  <si>
    <t>MW &amp; SS</t>
  </si>
  <si>
    <t>WARNO WARYO SUWIRYO</t>
  </si>
  <si>
    <t>ABDURACHMAN SATE BAROKAH</t>
  </si>
  <si>
    <t>JL. Letjend Soeprapto Gg 39</t>
  </si>
  <si>
    <t>Krg Malg - Indramayu - Indrmayu</t>
  </si>
  <si>
    <t>087737282321</t>
  </si>
  <si>
    <t>Tgl Masuk Agt : 2 Juni 2019</t>
  </si>
  <si>
    <t>MW Roni Juni - Okt 2019</t>
  </si>
  <si>
    <t>ERIC ROZALINO</t>
  </si>
  <si>
    <t>Jl. Cengkir VIII No. 29 Griya Ayu Utama</t>
  </si>
  <si>
    <t>Singa Jaya - Indrmayu</t>
  </si>
  <si>
    <t>083824305101</t>
  </si>
  <si>
    <t>Tgl Masuk Agt : 28 Juli 2019</t>
  </si>
  <si>
    <t>MAMAT ABDUL SOMAD</t>
  </si>
  <si>
    <t>jl. Manalagi I B2 No 2 Griya Ayu Utama</t>
  </si>
  <si>
    <t>ID NUMBER</t>
  </si>
  <si>
    <t>NO.</t>
  </si>
  <si>
    <t>RUDI SUDARMANTO</t>
  </si>
  <si>
    <t>TITING SUHARTINI</t>
  </si>
  <si>
    <t>MARGA MEKAR JL G. BROMO</t>
  </si>
  <si>
    <t>NURSYAMSIAH</t>
  </si>
  <si>
    <t>JL&gt; Pasarean RT 008/RW003 Karang Malang</t>
  </si>
  <si>
    <t>Indramayu, 11 September 2019</t>
  </si>
  <si>
    <t>Penarik,</t>
  </si>
  <si>
    <t>Maman Sukarman</t>
  </si>
  <si>
    <t>Koperasi Alfawaaid Indramayu,</t>
  </si>
  <si>
    <t>Abdul Ghoni</t>
  </si>
  <si>
    <t>Dibulatkan</t>
  </si>
  <si>
    <t>GIDMIR</t>
  </si>
  <si>
    <t>Jl. Kapten Arya No. 82</t>
  </si>
  <si>
    <t>MW JAN 2018 s/ Des 2019</t>
  </si>
  <si>
    <t>SUHENDRI</t>
  </si>
  <si>
    <t>Jl. Kapten Arya No. 32</t>
  </si>
  <si>
    <t xml:space="preserve"> Karang Malang Indramayu</t>
  </si>
  <si>
    <t>MW Takdoni</t>
  </si>
  <si>
    <t>Sisa BRngn</t>
  </si>
  <si>
    <t>MW Roni Nop - Apr 2020</t>
  </si>
  <si>
    <t>MUAMAR KHADAFI</t>
  </si>
  <si>
    <t>JL. Babar Layar 035/002 Terusan Sindang</t>
  </si>
  <si>
    <t>082237135043</t>
  </si>
  <si>
    <t>SUTISNO</t>
  </si>
  <si>
    <t>Larangan Jambe Kertasmaya</t>
  </si>
  <si>
    <t>081905429217</t>
  </si>
  <si>
    <t>SHU DES 2019</t>
  </si>
  <si>
    <t>Agt Mengundurkan Diri an Sapiih Tarik Modal Pokok dan Modal Wajib &amp; Sukarela</t>
  </si>
  <si>
    <t>10 % DIPERUNTUKAN DAKWAH &amp; KEPESANTRENAN</t>
  </si>
  <si>
    <t>SHU DIBAGI PER 31 DESEMBER 2019</t>
  </si>
  <si>
    <t>10% Utk MART</t>
  </si>
  <si>
    <t>10% SHU AGT INV KE MART</t>
  </si>
  <si>
    <t>SHU AGT DIBAGI</t>
  </si>
  <si>
    <t>SHU 2019</t>
  </si>
  <si>
    <t>Ttrctt 2/10/17</t>
  </si>
  <si>
    <t>MW Fudy Feb-Agst 2019</t>
  </si>
  <si>
    <t>Modal Wajib sd. Jan 2020</t>
  </si>
  <si>
    <t>Transfer</t>
  </si>
  <si>
    <t>MW Jan - Feb 2020</t>
  </si>
  <si>
    <t>TANDA TERIMA KARTU ANGGOTA</t>
  </si>
  <si>
    <t>Penyertaan Modal</t>
  </si>
  <si>
    <t>SHU 31 DES 2018</t>
  </si>
  <si>
    <t>SHU 31 DES 2019</t>
  </si>
  <si>
    <t>Pindah Buku dari SS ke MW Sd. Feb/20</t>
  </si>
  <si>
    <t>MW 2019</t>
  </si>
  <si>
    <t>Mutasi Modal Wajib dari SHU '18 &amp; '19</t>
  </si>
  <si>
    <t>TARIK SS U WAKAF TUNAI</t>
  </si>
  <si>
    <t>Modal Wajib jan- Mei 20</t>
  </si>
  <si>
    <t>YAMAN SAFIKRI</t>
  </si>
  <si>
    <t>PERUM Sindang Citra Blok A No. 54</t>
  </si>
  <si>
    <t>087851366393</t>
  </si>
  <si>
    <t>085323039672</t>
  </si>
  <si>
    <t>087718693872</t>
  </si>
  <si>
    <t>087712340820</t>
  </si>
  <si>
    <t>WARYO SUWIRYO</t>
  </si>
  <si>
    <t xml:space="preserve">MW Ust Aed </t>
  </si>
  <si>
    <t>Dari SHU Kepengurusan</t>
  </si>
  <si>
    <t>MW Ust. Taryaman</t>
  </si>
  <si>
    <t>MW Rudi Sudarmanto</t>
  </si>
  <si>
    <t>MW Abdul Ghoni</t>
  </si>
  <si>
    <t>MW Anwar Zainal Mustofa</t>
  </si>
  <si>
    <t>MW Heri Maulana</t>
  </si>
  <si>
    <t>MW Roni Mei - Agustus 2020</t>
  </si>
  <si>
    <t>GUSTI DWI MAULANA</t>
  </si>
  <si>
    <t>Jl. P. Dharma Kusuma No 04 Sindang</t>
  </si>
  <si>
    <t>085220227907</t>
  </si>
  <si>
    <t>Modal Wajib &amp; Sukarela</t>
  </si>
  <si>
    <t>RATNA JUITA</t>
  </si>
  <si>
    <t xml:space="preserve">Jl. Letjen Suprapto Belakang Masjid Annur </t>
  </si>
  <si>
    <t>Karang Malang - Indramayu</t>
  </si>
  <si>
    <t>081214929464</t>
  </si>
  <si>
    <t>JHODY APSYA RIZKIANA</t>
  </si>
  <si>
    <t xml:space="preserve">Jl. Siapem III No. 12 RT 02/05 </t>
  </si>
  <si>
    <t>Lemah Mekar - Indramayu</t>
  </si>
  <si>
    <t>085224601050</t>
  </si>
  <si>
    <t>SS ditarik Utk. Setor Scoopy Mei Juni 20</t>
  </si>
  <si>
    <t>Modal Wajib jun- Des 20</t>
  </si>
  <si>
    <t>081223362426</t>
  </si>
  <si>
    <t>MW Februari</t>
  </si>
  <si>
    <t xml:space="preserve">PIPIT FITRIYAH </t>
  </si>
  <si>
    <t>Jl, Manunggal RT012 RW 003</t>
  </si>
  <si>
    <t>Dermayu Sindang - Indramayu</t>
  </si>
  <si>
    <t>MW Mei - Agust 20</t>
  </si>
  <si>
    <t>MAHRUS MA'SUM, SAg.</t>
  </si>
  <si>
    <t>Jl. Raya Pekandangan RT 003/002</t>
  </si>
  <si>
    <t>Pekandangan  - Indramayu</t>
  </si>
  <si>
    <t>081320759028</t>
  </si>
  <si>
    <t>MW + SS</t>
  </si>
  <si>
    <t>MW Th 2019  Via Nota Tagihan =230.000+570.000</t>
  </si>
  <si>
    <t>Untuk MW 2020 (Jan - Agustus 20)</t>
  </si>
  <si>
    <t>Indramayu, 08 Oktober 2020</t>
  </si>
  <si>
    <t>………………………..</t>
  </si>
  <si>
    <t>Tarik</t>
  </si>
  <si>
    <t>Terbilang :</t>
  </si>
  <si>
    <t>Dua juta tiga ratus tiga puluh ribu rupiah</t>
  </si>
  <si>
    <t>MW Ttrctt Beban Adang</t>
  </si>
  <si>
    <t>Diarik Ahli Waris Sukrisna (Ibu Ida)</t>
  </si>
  <si>
    <t>MW bulan 8-11/2020 &amp; SS</t>
  </si>
  <si>
    <t>MW Juli - Okt 20</t>
  </si>
  <si>
    <t>DIYAN</t>
  </si>
  <si>
    <t>JAGANG KIDUL 004/003 SALAM MAGELANG</t>
  </si>
  <si>
    <t>MAGELANG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</si>
</sst>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dd\ mmmm\ yyyy"/>
    <numFmt numFmtId="165" formatCode="_(* #,##0.00_);_(* \(#,##0.00\);_(* &quot;-&quot;_);_(@_)"/>
    <numFmt numFmtId="166" formatCode="_(* #,##0_);_(* \(#,##0\);_(* &quot;-&quot;??_);_(@_)"/>
    <numFmt numFmtId="167" formatCode="#,##0.0000"/>
  </numFmts>
  <fonts count="7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4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sz val="20"/>
      <color indexed="17"/>
      <name val="Script"/>
      <family val="4"/>
      <charset val="255"/>
    </font>
    <font>
      <b/>
      <sz val="16"/>
      <color indexed="17"/>
      <name val="Tahoma"/>
      <family val="2"/>
    </font>
    <font>
      <b/>
      <sz val="11"/>
      <color indexed="17"/>
      <name val="Tahoma"/>
      <family val="2"/>
    </font>
    <font>
      <sz val="10"/>
      <color indexed="17"/>
      <name val="Tahoma"/>
      <family val="2"/>
    </font>
    <font>
      <b/>
      <sz val="10"/>
      <color indexed="17"/>
      <name val="Tahoma"/>
      <family val="2"/>
    </font>
    <font>
      <sz val="8"/>
      <color indexed="17"/>
      <name val="Arial"/>
      <family val="2"/>
    </font>
    <font>
      <b/>
      <sz val="11"/>
      <color indexed="17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  <font>
      <b/>
      <sz val="8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17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14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4"/>
      <color theme="0"/>
      <name val="Tahoma"/>
      <family val="2"/>
    </font>
    <font>
      <sz val="11"/>
      <name val="Tahoma"/>
      <family val="2"/>
    </font>
    <font>
      <sz val="20"/>
      <name val="Script"/>
      <family val="4"/>
      <charset val="255"/>
    </font>
    <font>
      <b/>
      <sz val="11"/>
      <name val="Tahoma"/>
      <family val="2"/>
    </font>
    <font>
      <sz val="11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2"/>
      <color indexed="17"/>
      <name val="Arial"/>
      <family val="2"/>
    </font>
    <font>
      <sz val="6"/>
      <color indexed="17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4"/>
      <color indexed="17"/>
      <name val="Arial"/>
      <family val="2"/>
    </font>
    <font>
      <b/>
      <sz val="14"/>
      <name val="Tahoma"/>
      <family val="2"/>
    </font>
    <font>
      <b/>
      <sz val="8"/>
      <color theme="0"/>
      <name val="Arial"/>
      <family val="2"/>
    </font>
    <font>
      <b/>
      <sz val="8"/>
      <name val="Tahoma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sz val="10"/>
      <color theme="10"/>
      <name val="Arial"/>
      <family val="2"/>
    </font>
    <font>
      <sz val="10"/>
      <name val="Arial Black"/>
      <family val="2"/>
    </font>
    <font>
      <b/>
      <sz val="8"/>
      <color indexed="17"/>
      <name val="Arial"/>
      <family val="2"/>
    </font>
    <font>
      <b/>
      <sz val="8"/>
      <color theme="1"/>
      <name val="Arial"/>
      <family val="2"/>
    </font>
    <font>
      <sz val="12"/>
      <name val="Arial Black"/>
      <family val="2"/>
    </font>
    <font>
      <sz val="14"/>
      <name val="Brush Script MT"/>
      <family val="4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56"/>
      </left>
      <right/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4"/>
      </left>
      <right style="double">
        <color indexed="64"/>
      </right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/>
      <top style="medium">
        <color indexed="56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/>
      <bottom/>
      <diagonal/>
    </border>
  </borders>
  <cellStyleXfs count="4">
    <xf numFmtId="0" fontId="0" fillId="0" borderId="0"/>
    <xf numFmtId="41" fontId="45" fillId="0" borderId="0" applyFont="0" applyFill="0" applyBorder="0" applyAlignment="0" applyProtection="0"/>
    <xf numFmtId="43" fontId="58" fillId="0" borderId="0" applyFont="0" applyFill="0" applyBorder="0" applyAlignment="0" applyProtection="0"/>
    <xf numFmtId="0" fontId="66" fillId="0" borderId="0" applyNumberFormat="0" applyFill="0" applyBorder="0" applyAlignment="0" applyProtection="0"/>
  </cellStyleXfs>
  <cellXfs count="738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0" applyFont="1" applyBorder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Border="1" applyAlignment="1"/>
    <xf numFmtId="0" fontId="13" fillId="0" borderId="0" xfId="0" applyFont="1"/>
    <xf numFmtId="0" fontId="10" fillId="0" borderId="0" xfId="0" applyFont="1" applyAlignment="1">
      <alignment horizontal="center"/>
    </xf>
    <xf numFmtId="0" fontId="15" fillId="0" borderId="0" xfId="0" quotePrefix="1" applyFont="1" applyBorder="1" applyAlignment="1">
      <alignment horizontal="center"/>
    </xf>
    <xf numFmtId="3" fontId="16" fillId="0" borderId="0" xfId="0" applyNumberFormat="1" applyFont="1" applyBorder="1"/>
    <xf numFmtId="3" fontId="16" fillId="0" borderId="2" xfId="0" applyNumberFormat="1" applyFont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quotePrefix="1" applyFont="1" applyBorder="1" applyAlignment="1">
      <alignment horizontal="center"/>
    </xf>
    <xf numFmtId="0" fontId="10" fillId="0" borderId="3" xfId="0" applyFont="1" applyBorder="1"/>
    <xf numFmtId="3" fontId="16" fillId="0" borderId="3" xfId="0" applyNumberFormat="1" applyFont="1" applyBorder="1"/>
    <xf numFmtId="0" fontId="0" fillId="0" borderId="0" xfId="0" quotePrefix="1" applyAlignment="1">
      <alignment horizontal="left"/>
    </xf>
    <xf numFmtId="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quotePrefix="1" applyNumberFormat="1" applyAlignment="1">
      <alignment horizontal="right"/>
    </xf>
    <xf numFmtId="3" fontId="0" fillId="0" borderId="0" xfId="0" applyNumberFormat="1"/>
    <xf numFmtId="4" fontId="5" fillId="0" borderId="0" xfId="0" applyNumberFormat="1" applyFont="1" applyAlignment="1">
      <alignment horizontal="left"/>
    </xf>
    <xf numFmtId="3" fontId="1" fillId="0" borderId="0" xfId="0" applyNumberFormat="1" applyFont="1"/>
    <xf numFmtId="0" fontId="5" fillId="0" borderId="0" xfId="0" applyFont="1"/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14" fontId="20" fillId="0" borderId="0" xfId="0" applyNumberFormat="1" applyFont="1" applyAlignment="1">
      <alignment horizontal="left"/>
    </xf>
    <xf numFmtId="0" fontId="20" fillId="0" borderId="0" xfId="0" applyFont="1"/>
    <xf numFmtId="4" fontId="20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left"/>
    </xf>
    <xf numFmtId="4" fontId="21" fillId="0" borderId="0" xfId="0" applyNumberFormat="1" applyFont="1" applyAlignment="1">
      <alignment horizontal="left"/>
    </xf>
    <xf numFmtId="4" fontId="20" fillId="0" borderId="0" xfId="0" applyNumberFormat="1" applyFont="1" applyAlignment="1">
      <alignment horizontal="center"/>
    </xf>
    <xf numFmtId="4" fontId="20" fillId="0" borderId="0" xfId="0" quotePrefix="1" applyNumberFormat="1" applyFont="1" applyAlignment="1">
      <alignment horizontal="right"/>
    </xf>
    <xf numFmtId="4" fontId="22" fillId="0" borderId="0" xfId="0" applyNumberFormat="1" applyFont="1" applyAlignment="1">
      <alignment horizontal="left"/>
    </xf>
    <xf numFmtId="0" fontId="5" fillId="0" borderId="0" xfId="0" applyFont="1" applyAlignment="1">
      <alignment vertical="top"/>
    </xf>
    <xf numFmtId="0" fontId="23" fillId="0" borderId="0" xfId="0" applyFont="1"/>
    <xf numFmtId="14" fontId="23" fillId="0" borderId="0" xfId="0" applyNumberFormat="1" applyFont="1" applyAlignment="1">
      <alignment horizontal="left"/>
    </xf>
    <xf numFmtId="4" fontId="23" fillId="0" borderId="0" xfId="0" applyNumberFormat="1" applyFont="1" applyAlignment="1">
      <alignment horizontal="right"/>
    </xf>
    <xf numFmtId="4" fontId="25" fillId="0" borderId="0" xfId="0" applyNumberFormat="1" applyFont="1" applyAlignment="1">
      <alignment horizontal="left"/>
    </xf>
    <xf numFmtId="0" fontId="23" fillId="0" borderId="0" xfId="0" quotePrefix="1" applyFont="1" applyAlignment="1">
      <alignment horizontal="left"/>
    </xf>
    <xf numFmtId="4" fontId="23" fillId="0" borderId="0" xfId="0" applyNumberFormat="1" applyFont="1" applyAlignment="1">
      <alignment horizontal="left"/>
    </xf>
    <xf numFmtId="4" fontId="24" fillId="0" borderId="0" xfId="0" applyNumberFormat="1" applyFont="1" applyAlignment="1">
      <alignment horizontal="left"/>
    </xf>
    <xf numFmtId="4" fontId="23" fillId="0" borderId="0" xfId="0" applyNumberFormat="1" applyFont="1" applyAlignment="1">
      <alignment horizontal="center"/>
    </xf>
    <xf numFmtId="4" fontId="23" fillId="0" borderId="0" xfId="0" quotePrefix="1" applyNumberFormat="1" applyFont="1" applyAlignment="1">
      <alignment horizontal="right"/>
    </xf>
    <xf numFmtId="0" fontId="10" fillId="2" borderId="0" xfId="0" applyFont="1" applyFill="1"/>
    <xf numFmtId="0" fontId="0" fillId="3" borderId="0" xfId="0" applyFill="1"/>
    <xf numFmtId="0" fontId="21" fillId="0" borderId="0" xfId="0" applyFont="1"/>
    <xf numFmtId="0" fontId="20" fillId="0" borderId="0" xfId="0" quotePrefix="1" applyFont="1" applyAlignment="1">
      <alignment horizontal="left"/>
    </xf>
    <xf numFmtId="3" fontId="20" fillId="0" borderId="0" xfId="0" applyNumberFormat="1" applyFont="1"/>
    <xf numFmtId="4" fontId="26" fillId="0" borderId="0" xfId="0" applyNumberFormat="1" applyFont="1" applyAlignment="1">
      <alignment horizontal="left"/>
    </xf>
    <xf numFmtId="4" fontId="27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left"/>
    </xf>
    <xf numFmtId="0" fontId="1" fillId="0" borderId="0" xfId="0" applyFont="1"/>
    <xf numFmtId="0" fontId="28" fillId="0" borderId="0" xfId="0" applyFont="1"/>
    <xf numFmtId="0" fontId="29" fillId="0" borderId="0" xfId="0" applyFont="1"/>
    <xf numFmtId="4" fontId="29" fillId="0" borderId="0" xfId="0" applyNumberFormat="1" applyFont="1" applyAlignment="1">
      <alignment horizontal="right"/>
    </xf>
    <xf numFmtId="4" fontId="29" fillId="0" borderId="0" xfId="0" applyNumberFormat="1" applyFont="1" applyAlignment="1">
      <alignment horizontal="left"/>
    </xf>
    <xf numFmtId="14" fontId="29" fillId="0" borderId="0" xfId="0" applyNumberFormat="1" applyFont="1" applyAlignment="1">
      <alignment horizontal="left"/>
    </xf>
    <xf numFmtId="0" fontId="29" fillId="0" borderId="0" xfId="0" quotePrefix="1" applyFont="1" applyAlignment="1">
      <alignment horizontal="left"/>
    </xf>
    <xf numFmtId="4" fontId="28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center"/>
    </xf>
    <xf numFmtId="4" fontId="29" fillId="0" borderId="0" xfId="0" quotePrefix="1" applyNumberFormat="1" applyFont="1" applyAlignment="1">
      <alignment horizontal="right"/>
    </xf>
    <xf numFmtId="0" fontId="30" fillId="0" borderId="0" xfId="0" applyFont="1"/>
    <xf numFmtId="4" fontId="1" fillId="0" borderId="0" xfId="0" applyNumberFormat="1" applyFont="1" applyAlignment="1">
      <alignment horizontal="right"/>
    </xf>
    <xf numFmtId="4" fontId="31" fillId="0" borderId="0" xfId="0" applyNumberFormat="1" applyFont="1" applyAlignment="1">
      <alignment horizontal="left"/>
    </xf>
    <xf numFmtId="4" fontId="32" fillId="0" borderId="0" xfId="0" applyNumberFormat="1" applyFont="1" applyAlignment="1">
      <alignment horizontal="right"/>
    </xf>
    <xf numFmtId="0" fontId="32" fillId="0" borderId="0" xfId="0" applyFont="1"/>
    <xf numFmtId="14" fontId="32" fillId="0" borderId="0" xfId="0" applyNumberFormat="1" applyFont="1" applyAlignment="1">
      <alignment horizontal="left"/>
    </xf>
    <xf numFmtId="0" fontId="32" fillId="0" borderId="0" xfId="0" quotePrefix="1" applyFont="1" applyAlignment="1">
      <alignment horizontal="left"/>
    </xf>
    <xf numFmtId="4" fontId="32" fillId="0" borderId="0" xfId="0" applyNumberFormat="1" applyFont="1" applyAlignment="1">
      <alignment horizontal="left"/>
    </xf>
    <xf numFmtId="3" fontId="32" fillId="0" borderId="0" xfId="0" applyNumberFormat="1" applyFont="1"/>
    <xf numFmtId="4" fontId="32" fillId="0" borderId="0" xfId="0" applyNumberFormat="1" applyFont="1" applyAlignment="1">
      <alignment horizontal="center"/>
    </xf>
    <xf numFmtId="4" fontId="32" fillId="0" borderId="0" xfId="0" quotePrefix="1" applyNumberFormat="1" applyFont="1" applyAlignment="1">
      <alignment horizontal="right"/>
    </xf>
    <xf numFmtId="0" fontId="5" fillId="3" borderId="0" xfId="0" applyFont="1" applyFill="1" applyAlignment="1">
      <alignment horizontal="left"/>
    </xf>
    <xf numFmtId="4" fontId="0" fillId="3" borderId="0" xfId="0" applyNumberFormat="1" applyFill="1" applyAlignment="1">
      <alignment horizontal="right"/>
    </xf>
    <xf numFmtId="4" fontId="33" fillId="0" borderId="0" xfId="0" applyNumberFormat="1" applyFont="1" applyAlignment="1">
      <alignment horizontal="left"/>
    </xf>
    <xf numFmtId="0" fontId="35" fillId="0" borderId="0" xfId="0" applyFont="1" applyAlignment="1">
      <alignment horizontal="center" vertical="center"/>
    </xf>
    <xf numFmtId="4" fontId="36" fillId="0" borderId="5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21" fillId="3" borderId="0" xfId="0" applyFont="1" applyFill="1" applyAlignment="1">
      <alignment horizontal="left"/>
    </xf>
    <xf numFmtId="0" fontId="20" fillId="3" borderId="0" xfId="0" applyFont="1" applyFill="1"/>
    <xf numFmtId="4" fontId="20" fillId="3" borderId="0" xfId="0" applyNumberFormat="1" applyFont="1" applyFill="1" applyAlignment="1">
      <alignment horizontal="right"/>
    </xf>
    <xf numFmtId="164" fontId="34" fillId="3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34" fillId="4" borderId="5" xfId="0" applyNumberFormat="1" applyFont="1" applyFill="1" applyBorder="1" applyAlignment="1">
      <alignment horizontal="center" vertical="center"/>
    </xf>
    <xf numFmtId="0" fontId="8" fillId="0" borderId="0" xfId="0" quotePrefix="1" applyFont="1" applyAlignment="1">
      <alignment horizontal="left"/>
    </xf>
    <xf numFmtId="4" fontId="8" fillId="0" borderId="0" xfId="0" applyNumberFormat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4" fontId="20" fillId="0" borderId="0" xfId="0" applyNumberFormat="1" applyFont="1"/>
    <xf numFmtId="0" fontId="8" fillId="0" borderId="0" xfId="0" applyFont="1"/>
    <xf numFmtId="0" fontId="3" fillId="0" borderId="0" xfId="0" applyFont="1" applyAlignment="1"/>
    <xf numFmtId="3" fontId="2" fillId="0" borderId="3" xfId="0" applyNumberFormat="1" applyFont="1" applyBorder="1"/>
    <xf numFmtId="4" fontId="29" fillId="0" borderId="0" xfId="0" applyNumberFormat="1" applyFont="1"/>
    <xf numFmtId="3" fontId="8" fillId="0" borderId="0" xfId="0" applyNumberFormat="1" applyFont="1"/>
    <xf numFmtId="14" fontId="8" fillId="0" borderId="0" xfId="0" applyNumberFormat="1" applyFont="1" applyAlignment="1">
      <alignment horizontal="left"/>
    </xf>
    <xf numFmtId="4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4" fontId="8" fillId="0" borderId="0" xfId="0" applyNumberFormat="1" applyFont="1"/>
    <xf numFmtId="0" fontId="8" fillId="3" borderId="0" xfId="0" applyFont="1" applyFill="1"/>
    <xf numFmtId="4" fontId="8" fillId="3" borderId="0" xfId="0" applyNumberFormat="1" applyFont="1" applyFill="1" applyAlignment="1">
      <alignment horizontal="right"/>
    </xf>
    <xf numFmtId="0" fontId="14" fillId="0" borderId="0" xfId="0" applyFont="1" applyBorder="1" applyAlignment="1">
      <alignment horizontal="center" vertical="center" wrapText="1"/>
    </xf>
    <xf numFmtId="14" fontId="10" fillId="0" borderId="0" xfId="0" applyNumberFormat="1" applyFont="1"/>
    <xf numFmtId="4" fontId="40" fillId="2" borderId="5" xfId="0" applyNumberFormat="1" applyFont="1" applyFill="1" applyBorder="1"/>
    <xf numFmtId="4" fontId="18" fillId="0" borderId="0" xfId="0" applyNumberFormat="1" applyFont="1" applyBorder="1"/>
    <xf numFmtId="0" fontId="10" fillId="5" borderId="8" xfId="0" applyFont="1" applyFill="1" applyBorder="1"/>
    <xf numFmtId="0" fontId="10" fillId="5" borderId="9" xfId="0" applyFont="1" applyFill="1" applyBorder="1"/>
    <xf numFmtId="4" fontId="40" fillId="5" borderId="5" xfId="0" applyNumberFormat="1" applyFont="1" applyFill="1" applyBorder="1" applyAlignment="1">
      <alignment horizontal="right"/>
    </xf>
    <xf numFmtId="4" fontId="2" fillId="0" borderId="3" xfId="0" applyNumberFormat="1" applyFont="1" applyBorder="1"/>
    <xf numFmtId="4" fontId="16" fillId="0" borderId="0" xfId="0" applyNumberFormat="1" applyFont="1" applyBorder="1"/>
    <xf numFmtId="4" fontId="10" fillId="0" borderId="0" xfId="0" applyNumberFormat="1" applyFont="1"/>
    <xf numFmtId="4" fontId="16" fillId="7" borderId="0" xfId="0" applyNumberFormat="1" applyFont="1" applyFill="1" applyBorder="1"/>
    <xf numFmtId="4" fontId="10" fillId="2" borderId="5" xfId="0" applyNumberFormat="1" applyFont="1" applyFill="1" applyBorder="1"/>
    <xf numFmtId="3" fontId="16" fillId="0" borderId="0" xfId="0" applyNumberFormat="1" applyFont="1" applyFill="1" applyBorder="1"/>
    <xf numFmtId="0" fontId="10" fillId="0" borderId="0" xfId="0" quotePrefix="1" applyFont="1" applyFill="1" applyBorder="1" applyAlignment="1">
      <alignment horizontal="center"/>
    </xf>
    <xf numFmtId="0" fontId="10" fillId="0" borderId="0" xfId="0" applyFont="1" applyFill="1" applyBorder="1"/>
    <xf numFmtId="3" fontId="2" fillId="0" borderId="0" xfId="0" applyNumberFormat="1" applyFont="1" applyFill="1" applyBorder="1"/>
    <xf numFmtId="4" fontId="2" fillId="0" borderId="0" xfId="0" applyNumberFormat="1" applyFont="1" applyFill="1" applyBorder="1"/>
    <xf numFmtId="4" fontId="16" fillId="0" borderId="0" xfId="0" applyNumberFormat="1" applyFont="1" applyFill="1" applyBorder="1"/>
    <xf numFmtId="4" fontId="10" fillId="2" borderId="0" xfId="0" applyNumberFormat="1" applyFont="1" applyFill="1" applyBorder="1"/>
    <xf numFmtId="3" fontId="10" fillId="0" borderId="0" xfId="0" applyNumberFormat="1" applyFont="1"/>
    <xf numFmtId="3" fontId="8" fillId="0" borderId="0" xfId="0" quotePrefix="1" applyNumberFormat="1" applyFont="1"/>
    <xf numFmtId="4" fontId="3" fillId="0" borderId="0" xfId="0" applyNumberFormat="1" applyFont="1" applyAlignment="1"/>
    <xf numFmtId="0" fontId="5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4" fontId="2" fillId="0" borderId="4" xfId="0" applyNumberFormat="1" applyFont="1" applyBorder="1"/>
    <xf numFmtId="4" fontId="22" fillId="8" borderId="5" xfId="0" applyNumberFormat="1" applyFont="1" applyFill="1" applyBorder="1" applyAlignment="1">
      <alignment vertical="center"/>
    </xf>
    <xf numFmtId="3" fontId="2" fillId="0" borderId="4" xfId="0" applyNumberFormat="1" applyFont="1" applyBorder="1"/>
    <xf numFmtId="3" fontId="16" fillId="0" borderId="19" xfId="0" applyNumberFormat="1" applyFont="1" applyBorder="1"/>
    <xf numFmtId="4" fontId="5" fillId="0" borderId="5" xfId="0" applyNumberFormat="1" applyFont="1" applyBorder="1" applyAlignment="1">
      <alignment horizontal="right"/>
    </xf>
    <xf numFmtId="4" fontId="5" fillId="3" borderId="5" xfId="0" applyNumberFormat="1" applyFont="1" applyFill="1" applyBorder="1" applyAlignment="1">
      <alignment horizontal="right"/>
    </xf>
    <xf numFmtId="4" fontId="44" fillId="0" borderId="5" xfId="0" applyNumberFormat="1" applyFont="1" applyBorder="1" applyAlignment="1">
      <alignment horizontal="right"/>
    </xf>
    <xf numFmtId="14" fontId="0" fillId="0" borderId="0" xfId="0" applyNumberFormat="1" applyFill="1" applyAlignment="1">
      <alignment horizontal="left"/>
    </xf>
    <xf numFmtId="4" fontId="0" fillId="0" borderId="0" xfId="0" applyNumberFormat="1" applyFill="1" applyAlignment="1">
      <alignment horizontal="right"/>
    </xf>
    <xf numFmtId="0" fontId="0" fillId="4" borderId="0" xfId="0" applyFill="1"/>
    <xf numFmtId="4" fontId="0" fillId="4" borderId="0" xfId="0" applyNumberFormat="1" applyFill="1" applyAlignment="1">
      <alignment horizontal="right"/>
    </xf>
    <xf numFmtId="4" fontId="0" fillId="0" borderId="5" xfId="0" applyNumberFormat="1" applyBorder="1"/>
    <xf numFmtId="14" fontId="8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horizontal="left" vertical="top"/>
    </xf>
    <xf numFmtId="0" fontId="0" fillId="0" borderId="0" xfId="0" applyFill="1"/>
    <xf numFmtId="3" fontId="2" fillId="10" borderId="3" xfId="0" applyNumberFormat="1" applyFont="1" applyFill="1" applyBorder="1"/>
    <xf numFmtId="4" fontId="2" fillId="10" borderId="3" xfId="0" applyNumberFormat="1" applyFont="1" applyFill="1" applyBorder="1"/>
    <xf numFmtId="3" fontId="2" fillId="0" borderId="3" xfId="0" applyNumberFormat="1" applyFont="1" applyFill="1" applyBorder="1"/>
    <xf numFmtId="4" fontId="2" fillId="0" borderId="3" xfId="0" applyNumberFormat="1" applyFont="1" applyFill="1" applyBorder="1"/>
    <xf numFmtId="3" fontId="2" fillId="11" borderId="3" xfId="0" applyNumberFormat="1" applyFont="1" applyFill="1" applyBorder="1"/>
    <xf numFmtId="4" fontId="2" fillId="11" borderId="3" xfId="0" applyNumberFormat="1" applyFont="1" applyFill="1" applyBorder="1"/>
    <xf numFmtId="0" fontId="10" fillId="0" borderId="0" xfId="0" applyFont="1" applyFill="1"/>
    <xf numFmtId="14" fontId="0" fillId="5" borderId="0" xfId="0" applyNumberFormat="1" applyFill="1" applyAlignment="1">
      <alignment vertical="center"/>
    </xf>
    <xf numFmtId="0" fontId="1" fillId="5" borderId="0" xfId="0" applyFont="1" applyFill="1" applyAlignment="1">
      <alignment horizontal="left" vertical="top"/>
    </xf>
    <xf numFmtId="41" fontId="19" fillId="0" borderId="0" xfId="1" applyFont="1" applyAlignment="1">
      <alignment horizontal="center"/>
    </xf>
    <xf numFmtId="41" fontId="20" fillId="0" borderId="0" xfId="1" applyFont="1"/>
    <xf numFmtId="0" fontId="0" fillId="0" borderId="0" xfId="0" applyFont="1" applyFill="1"/>
    <xf numFmtId="3" fontId="1" fillId="0" borderId="0" xfId="0" quotePrefix="1" applyNumberFormat="1" applyFont="1"/>
    <xf numFmtId="4" fontId="46" fillId="0" borderId="0" xfId="0" applyNumberFormat="1" applyFont="1" applyAlignment="1">
      <alignment horizontal="right"/>
    </xf>
    <xf numFmtId="4" fontId="47" fillId="0" borderId="0" xfId="0" applyNumberFormat="1" applyFont="1" applyAlignment="1">
      <alignment horizontal="right"/>
    </xf>
    <xf numFmtId="165" fontId="20" fillId="0" borderId="0" xfId="1" applyNumberFormat="1" applyFont="1"/>
    <xf numFmtId="165" fontId="8" fillId="0" borderId="0" xfId="1" applyNumberFormat="1" applyFont="1"/>
    <xf numFmtId="0" fontId="1" fillId="0" borderId="0" xfId="0" applyFont="1" applyAlignment="1">
      <alignment horizontal="center"/>
    </xf>
    <xf numFmtId="0" fontId="1" fillId="10" borderId="3" xfId="0" quotePrefix="1" applyFont="1" applyFill="1" applyBorder="1"/>
    <xf numFmtId="0" fontId="1" fillId="11" borderId="3" xfId="0" quotePrefix="1" applyFont="1" applyFill="1" applyBorder="1"/>
    <xf numFmtId="0" fontId="1" fillId="0" borderId="3" xfId="0" quotePrefix="1" applyFont="1" applyFill="1" applyBorder="1"/>
    <xf numFmtId="41" fontId="19" fillId="0" borderId="0" xfId="1" applyFont="1"/>
    <xf numFmtId="0" fontId="1" fillId="0" borderId="0" xfId="0" applyFont="1" applyFill="1"/>
    <xf numFmtId="0" fontId="22" fillId="0" borderId="0" xfId="0" applyFont="1" applyFill="1" applyAlignment="1"/>
    <xf numFmtId="0" fontId="8" fillId="0" borderId="0" xfId="0" applyFont="1" applyFill="1"/>
    <xf numFmtId="4" fontId="8" fillId="0" borderId="0" xfId="0" applyNumberFormat="1" applyFont="1" applyFill="1"/>
    <xf numFmtId="0" fontId="3" fillId="0" borderId="0" xfId="0" applyFont="1" applyFill="1" applyAlignment="1"/>
    <xf numFmtId="4" fontId="3" fillId="0" borderId="0" xfId="0" applyNumberFormat="1" applyFont="1" applyFill="1" applyAlignment="1"/>
    <xf numFmtId="0" fontId="12" fillId="0" borderId="0" xfId="0" applyFont="1" applyFill="1" applyBorder="1" applyAlignment="1"/>
    <xf numFmtId="0" fontId="14" fillId="0" borderId="0" xfId="0" applyFont="1" applyFill="1" applyBorder="1" applyAlignment="1">
      <alignment horizontal="center" vertical="center" wrapText="1"/>
    </xf>
    <xf numFmtId="4" fontId="40" fillId="0" borderId="5" xfId="0" applyNumberFormat="1" applyFont="1" applyFill="1" applyBorder="1"/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15" fillId="0" borderId="0" xfId="0" quotePrefix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/>
    </xf>
    <xf numFmtId="3" fontId="5" fillId="0" borderId="17" xfId="0" applyNumberFormat="1" applyFont="1" applyFill="1" applyBorder="1" applyAlignment="1">
      <alignment horizontal="center"/>
    </xf>
    <xf numFmtId="4" fontId="18" fillId="0" borderId="0" xfId="0" applyNumberFormat="1" applyFont="1" applyFill="1" applyBorder="1"/>
    <xf numFmtId="0" fontId="10" fillId="0" borderId="8" xfId="0" applyFont="1" applyFill="1" applyBorder="1"/>
    <xf numFmtId="0" fontId="10" fillId="0" borderId="9" xfId="0" applyFont="1" applyFill="1" applyBorder="1"/>
    <xf numFmtId="4" fontId="40" fillId="0" borderId="5" xfId="0" applyNumberFormat="1" applyFont="1" applyFill="1" applyBorder="1" applyAlignment="1">
      <alignment horizontal="right"/>
    </xf>
    <xf numFmtId="0" fontId="10" fillId="0" borderId="10" xfId="0" applyFont="1" applyFill="1" applyBorder="1"/>
    <xf numFmtId="0" fontId="10" fillId="0" borderId="11" xfId="0" applyFont="1" applyFill="1" applyBorder="1"/>
    <xf numFmtId="4" fontId="10" fillId="0" borderId="12" xfId="0" applyNumberFormat="1" applyFont="1" applyFill="1" applyBorder="1"/>
    <xf numFmtId="0" fontId="10" fillId="0" borderId="13" xfId="0" applyFont="1" applyFill="1" applyBorder="1"/>
    <xf numFmtId="0" fontId="10" fillId="0" borderId="14" xfId="0" applyFont="1" applyFill="1" applyBorder="1"/>
    <xf numFmtId="4" fontId="9" fillId="0" borderId="5" xfId="0" applyNumberFormat="1" applyFont="1" applyFill="1" applyBorder="1"/>
    <xf numFmtId="4" fontId="10" fillId="0" borderId="0" xfId="0" applyNumberFormat="1" applyFont="1" applyFill="1"/>
    <xf numFmtId="41" fontId="2" fillId="0" borderId="3" xfId="1" applyFont="1" applyFill="1" applyBorder="1"/>
    <xf numFmtId="4" fontId="10" fillId="0" borderId="5" xfId="0" applyNumberFormat="1" applyFont="1" applyFill="1" applyBorder="1"/>
    <xf numFmtId="4" fontId="10" fillId="0" borderId="0" xfId="0" applyNumberFormat="1" applyFont="1" applyFill="1" applyBorder="1"/>
    <xf numFmtId="3" fontId="2" fillId="0" borderId="4" xfId="0" applyNumberFormat="1" applyFont="1" applyFill="1" applyBorder="1"/>
    <xf numFmtId="4" fontId="2" fillId="0" borderId="4" xfId="0" applyNumberFormat="1" applyFont="1" applyFill="1" applyBorder="1"/>
    <xf numFmtId="3" fontId="5" fillId="0" borderId="20" xfId="0" applyNumberFormat="1" applyFont="1" applyFill="1" applyBorder="1" applyAlignment="1">
      <alignment vertical="center"/>
    </xf>
    <xf numFmtId="3" fontId="22" fillId="0" borderId="24" xfId="0" applyNumberFormat="1" applyFont="1" applyFill="1" applyBorder="1"/>
    <xf numFmtId="4" fontId="22" fillId="0" borderId="4" xfId="0" applyNumberFormat="1" applyFont="1" applyFill="1" applyBorder="1"/>
    <xf numFmtId="4" fontId="22" fillId="0" borderId="25" xfId="0" applyNumberFormat="1" applyFont="1" applyFill="1" applyBorder="1"/>
    <xf numFmtId="3" fontId="22" fillId="0" borderId="25" xfId="0" applyNumberFormat="1" applyFont="1" applyFill="1" applyBorder="1"/>
    <xf numFmtId="4" fontId="22" fillId="0" borderId="5" xfId="0" applyNumberFormat="1" applyFont="1" applyFill="1" applyBorder="1"/>
    <xf numFmtId="3" fontId="5" fillId="0" borderId="1" xfId="0" applyNumberFormat="1" applyFont="1" applyFill="1" applyBorder="1" applyAlignment="1">
      <alignment vertical="center"/>
    </xf>
    <xf numFmtId="4" fontId="22" fillId="0" borderId="26" xfId="0" applyNumberFormat="1" applyFont="1" applyFill="1" applyBorder="1" applyAlignment="1"/>
    <xf numFmtId="4" fontId="42" fillId="0" borderId="27" xfId="0" applyNumberFormat="1" applyFont="1" applyFill="1" applyBorder="1" applyAlignment="1"/>
    <xf numFmtId="3" fontId="2" fillId="0" borderId="6" xfId="0" applyNumberFormat="1" applyFont="1" applyFill="1" applyBorder="1"/>
    <xf numFmtId="3" fontId="2" fillId="0" borderId="7" xfId="0" applyNumberFormat="1" applyFont="1" applyFill="1" applyBorder="1"/>
    <xf numFmtId="4" fontId="22" fillId="0" borderId="5" xfId="0" applyNumberFormat="1" applyFont="1" applyFill="1" applyBorder="1" applyAlignment="1">
      <alignment vertical="center"/>
    </xf>
    <xf numFmtId="1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3" fontId="10" fillId="0" borderId="0" xfId="0" applyNumberFormat="1" applyFont="1" applyFill="1"/>
    <xf numFmtId="0" fontId="5" fillId="0" borderId="0" xfId="0" applyFont="1" applyFill="1"/>
    <xf numFmtId="14" fontId="5" fillId="0" borderId="0" xfId="0" applyNumberFormat="1" applyFont="1" applyFill="1"/>
    <xf numFmtId="0" fontId="49" fillId="0" borderId="0" xfId="0" applyFont="1" applyFill="1" applyBorder="1" applyAlignment="1"/>
    <xf numFmtId="4" fontId="1" fillId="0" borderId="0" xfId="0" applyNumberFormat="1" applyFont="1" applyFill="1"/>
    <xf numFmtId="0" fontId="50" fillId="0" borderId="0" xfId="0" applyFont="1" applyFill="1" applyAlignment="1"/>
    <xf numFmtId="14" fontId="50" fillId="0" borderId="0" xfId="0" applyNumberFormat="1" applyFont="1" applyFill="1" applyAlignment="1"/>
    <xf numFmtId="14" fontId="1" fillId="0" borderId="0" xfId="0" applyNumberFormat="1" applyFont="1" applyFill="1"/>
    <xf numFmtId="14" fontId="3" fillId="0" borderId="0" xfId="0" applyNumberFormat="1" applyFont="1" applyFill="1" applyAlignment="1"/>
    <xf numFmtId="0" fontId="51" fillId="0" borderId="0" xfId="0" applyFont="1" applyFill="1"/>
    <xf numFmtId="14" fontId="51" fillId="0" borderId="0" xfId="0" applyNumberFormat="1" applyFont="1" applyFill="1"/>
    <xf numFmtId="0" fontId="52" fillId="0" borderId="0" xfId="0" applyFont="1" applyFill="1"/>
    <xf numFmtId="0" fontId="6" fillId="0" borderId="4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1" fillId="0" borderId="3" xfId="0" quotePrefix="1" applyFont="1" applyFill="1" applyBorder="1" applyAlignment="1">
      <alignment horizontal="center"/>
    </xf>
    <xf numFmtId="14" fontId="1" fillId="0" borderId="3" xfId="0" quotePrefix="1" applyNumberFormat="1" applyFont="1" applyFill="1" applyBorder="1" applyAlignment="1">
      <alignment horizont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/>
    </xf>
    <xf numFmtId="3" fontId="2" fillId="0" borderId="19" xfId="0" applyNumberFormat="1" applyFont="1" applyFill="1" applyBorder="1"/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28" xfId="0" applyFont="1" applyFill="1" applyBorder="1"/>
    <xf numFmtId="4" fontId="22" fillId="0" borderId="20" xfId="0" applyNumberFormat="1" applyFont="1" applyFill="1" applyBorder="1"/>
    <xf numFmtId="3" fontId="2" fillId="0" borderId="18" xfId="0" applyNumberFormat="1" applyFont="1" applyFill="1" applyBorder="1"/>
    <xf numFmtId="3" fontId="2" fillId="0" borderId="1" xfId="0" applyNumberFormat="1" applyFont="1" applyFill="1" applyBorder="1"/>
    <xf numFmtId="3" fontId="2" fillId="0" borderId="2" xfId="0" applyNumberFormat="1" applyFont="1" applyFill="1" applyBorder="1"/>
    <xf numFmtId="4" fontId="55" fillId="0" borderId="0" xfId="0" applyNumberFormat="1" applyFont="1" applyFill="1" applyBorder="1"/>
    <xf numFmtId="0" fontId="55" fillId="0" borderId="10" xfId="0" applyFont="1" applyFill="1" applyBorder="1"/>
    <xf numFmtId="0" fontId="55" fillId="0" borderId="11" xfId="0" applyFont="1" applyFill="1" applyBorder="1"/>
    <xf numFmtId="4" fontId="55" fillId="0" borderId="12" xfId="0" applyNumberFormat="1" applyFont="1" applyFill="1" applyBorder="1"/>
    <xf numFmtId="0" fontId="55" fillId="0" borderId="0" xfId="0" applyFont="1" applyFill="1"/>
    <xf numFmtId="0" fontId="55" fillId="0" borderId="13" xfId="0" applyFont="1" applyFill="1" applyBorder="1"/>
    <xf numFmtId="0" fontId="55" fillId="0" borderId="14" xfId="0" applyFont="1" applyFill="1" applyBorder="1"/>
    <xf numFmtId="4" fontId="55" fillId="0" borderId="0" xfId="0" applyNumberFormat="1" applyFont="1" applyFill="1"/>
    <xf numFmtId="3" fontId="55" fillId="0" borderId="0" xfId="0" applyNumberFormat="1" applyFont="1" applyFill="1" applyBorder="1"/>
    <xf numFmtId="0" fontId="4" fillId="0" borderId="40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/>
    </xf>
    <xf numFmtId="14" fontId="5" fillId="0" borderId="40" xfId="0" applyNumberFormat="1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/>
    </xf>
    <xf numFmtId="0" fontId="5" fillId="0" borderId="40" xfId="0" applyFont="1" applyFill="1" applyBorder="1" applyAlignment="1">
      <alignment horizontal="center" vertical="center" wrapText="1"/>
    </xf>
    <xf numFmtId="3" fontId="5" fillId="0" borderId="40" xfId="0" applyNumberFormat="1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 vertical="center" wrapText="1"/>
    </xf>
    <xf numFmtId="0" fontId="54" fillId="0" borderId="39" xfId="0" quotePrefix="1" applyFont="1" applyFill="1" applyBorder="1" applyAlignment="1">
      <alignment horizontal="center"/>
    </xf>
    <xf numFmtId="14" fontId="54" fillId="0" borderId="40" xfId="0" quotePrefix="1" applyNumberFormat="1" applyFont="1" applyFill="1" applyBorder="1" applyAlignment="1">
      <alignment horizontal="center"/>
    </xf>
    <xf numFmtId="0" fontId="54" fillId="0" borderId="40" xfId="0" applyFont="1" applyFill="1" applyBorder="1"/>
    <xf numFmtId="0" fontId="54" fillId="0" borderId="40" xfId="0" quotePrefix="1" applyFont="1" applyFill="1" applyBorder="1"/>
    <xf numFmtId="3" fontId="54" fillId="0" borderId="40" xfId="0" applyNumberFormat="1" applyFont="1" applyFill="1" applyBorder="1"/>
    <xf numFmtId="4" fontId="54" fillId="0" borderId="40" xfId="0" applyNumberFormat="1" applyFont="1" applyFill="1" applyBorder="1"/>
    <xf numFmtId="4" fontId="54" fillId="0" borderId="41" xfId="0" applyNumberFormat="1" applyFont="1" applyFill="1" applyBorder="1"/>
    <xf numFmtId="3" fontId="54" fillId="0" borderId="41" xfId="0" applyNumberFormat="1" applyFont="1" applyFill="1" applyBorder="1"/>
    <xf numFmtId="41" fontId="54" fillId="0" borderId="40" xfId="1" applyFont="1" applyFill="1" applyBorder="1"/>
    <xf numFmtId="0" fontId="1" fillId="0" borderId="39" xfId="0" quotePrefix="1" applyFont="1" applyFill="1" applyBorder="1" applyAlignment="1">
      <alignment horizontal="center"/>
    </xf>
    <xf numFmtId="14" fontId="1" fillId="0" borderId="40" xfId="0" quotePrefix="1" applyNumberFormat="1" applyFont="1" applyFill="1" applyBorder="1" applyAlignment="1">
      <alignment horizontal="center"/>
    </xf>
    <xf numFmtId="0" fontId="1" fillId="0" borderId="40" xfId="0" applyFont="1" applyFill="1" applyBorder="1"/>
    <xf numFmtId="3" fontId="2" fillId="0" borderId="40" xfId="0" applyNumberFormat="1" applyFont="1" applyFill="1" applyBorder="1"/>
    <xf numFmtId="4" fontId="2" fillId="0" borderId="40" xfId="0" applyNumberFormat="1" applyFont="1" applyFill="1" applyBorder="1"/>
    <xf numFmtId="3" fontId="2" fillId="0" borderId="41" xfId="0" applyNumberFormat="1" applyFont="1" applyFill="1" applyBorder="1"/>
    <xf numFmtId="0" fontId="1" fillId="0" borderId="39" xfId="0" applyFont="1" applyFill="1" applyBorder="1" applyAlignment="1">
      <alignment horizontal="center"/>
    </xf>
    <xf numFmtId="14" fontId="1" fillId="0" borderId="40" xfId="0" applyNumberFormat="1" applyFont="1" applyFill="1" applyBorder="1" applyAlignment="1">
      <alignment horizontal="center"/>
    </xf>
    <xf numFmtId="3" fontId="5" fillId="0" borderId="40" xfId="0" applyNumberFormat="1" applyFont="1" applyFill="1" applyBorder="1" applyAlignment="1">
      <alignment vertical="center"/>
    </xf>
    <xf numFmtId="3" fontId="22" fillId="0" borderId="40" xfId="0" applyNumberFormat="1" applyFont="1" applyFill="1" applyBorder="1"/>
    <xf numFmtId="4" fontId="22" fillId="0" borderId="40" xfId="0" applyNumberFormat="1" applyFont="1" applyFill="1" applyBorder="1"/>
    <xf numFmtId="0" fontId="1" fillId="0" borderId="40" xfId="0" applyFont="1" applyFill="1" applyBorder="1" applyAlignment="1">
      <alignment horizontal="center"/>
    </xf>
    <xf numFmtId="4" fontId="22" fillId="0" borderId="40" xfId="0" applyNumberFormat="1" applyFont="1" applyFill="1" applyBorder="1" applyAlignment="1"/>
    <xf numFmtId="4" fontId="42" fillId="0" borderId="40" xfId="0" applyNumberFormat="1" applyFont="1" applyFill="1" applyBorder="1" applyAlignment="1"/>
    <xf numFmtId="3" fontId="2" fillId="0" borderId="43" xfId="0" applyNumberFormat="1" applyFont="1" applyFill="1" applyBorder="1"/>
    <xf numFmtId="4" fontId="22" fillId="0" borderId="43" xfId="0" applyNumberFormat="1" applyFont="1" applyFill="1" applyBorder="1" applyAlignment="1">
      <alignment vertical="center"/>
    </xf>
    <xf numFmtId="3" fontId="2" fillId="0" borderId="44" xfId="0" applyNumberFormat="1" applyFont="1" applyFill="1" applyBorder="1"/>
    <xf numFmtId="0" fontId="6" fillId="0" borderId="45" xfId="0" applyFont="1" applyFill="1" applyBorder="1" applyAlignment="1">
      <alignment vertical="center" wrapText="1"/>
    </xf>
    <xf numFmtId="0" fontId="6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/>
    </xf>
    <xf numFmtId="165" fontId="19" fillId="0" borderId="0" xfId="1" applyNumberFormat="1" applyFont="1" applyAlignment="1">
      <alignment horizontal="center"/>
    </xf>
    <xf numFmtId="41" fontId="0" fillId="0" borderId="0" xfId="1" applyFont="1"/>
    <xf numFmtId="0" fontId="1" fillId="0" borderId="0" xfId="0" quotePrefix="1" applyFont="1"/>
    <xf numFmtId="0" fontId="6" fillId="0" borderId="4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9" fillId="0" borderId="0" xfId="0" applyFont="1" applyBorder="1" applyAlignment="1"/>
    <xf numFmtId="0" fontId="52" fillId="0" borderId="0" xfId="0" applyFont="1"/>
    <xf numFmtId="0" fontId="1" fillId="10" borderId="3" xfId="0" applyFont="1" applyFill="1" applyBorder="1"/>
    <xf numFmtId="0" fontId="1" fillId="11" borderId="3" xfId="0" applyFont="1" applyFill="1" applyBorder="1"/>
    <xf numFmtId="0" fontId="1" fillId="0" borderId="3" xfId="0" applyFont="1" applyBorder="1"/>
    <xf numFmtId="14" fontId="0" fillId="0" borderId="0" xfId="0" applyNumberFormat="1"/>
    <xf numFmtId="4" fontId="8" fillId="10" borderId="0" xfId="0" applyNumberFormat="1" applyFont="1" applyFill="1"/>
    <xf numFmtId="3" fontId="16" fillId="11" borderId="0" xfId="0" applyNumberFormat="1" applyFont="1" applyFill="1" applyBorder="1"/>
    <xf numFmtId="4" fontId="16" fillId="11" borderId="0" xfId="0" applyNumberFormat="1" applyFont="1" applyFill="1" applyBorder="1"/>
    <xf numFmtId="4" fontId="16" fillId="9" borderId="0" xfId="0" applyNumberFormat="1" applyFont="1" applyFill="1" applyBorder="1"/>
    <xf numFmtId="4" fontId="1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4" fontId="1" fillId="0" borderId="0" xfId="0" applyNumberFormat="1" applyFont="1"/>
    <xf numFmtId="4" fontId="1" fillId="0" borderId="0" xfId="0" applyNumberFormat="1" applyFont="1" applyAlignment="1">
      <alignment horizontal="center"/>
    </xf>
    <xf numFmtId="4" fontId="1" fillId="0" borderId="0" xfId="0" quotePrefix="1" applyNumberFormat="1" applyFont="1" applyAlignment="1">
      <alignment horizontal="right"/>
    </xf>
    <xf numFmtId="0" fontId="57" fillId="0" borderId="0" xfId="0" applyFont="1"/>
    <xf numFmtId="41" fontId="1" fillId="0" borderId="0" xfId="1" applyFont="1"/>
    <xf numFmtId="14" fontId="1" fillId="0" borderId="0" xfId="0" applyNumberFormat="1" applyFont="1" applyFill="1" applyAlignment="1">
      <alignment vertical="center"/>
    </xf>
    <xf numFmtId="41" fontId="1" fillId="0" borderId="0" xfId="1" applyFont="1" applyAlignment="1">
      <alignment horizontal="center"/>
    </xf>
    <xf numFmtId="0" fontId="1" fillId="3" borderId="0" xfId="0" applyFont="1" applyFill="1"/>
    <xf numFmtId="4" fontId="1" fillId="3" borderId="0" xfId="0" applyNumberFormat="1" applyFont="1" applyFill="1" applyAlignment="1">
      <alignment horizontal="right"/>
    </xf>
    <xf numFmtId="165" fontId="1" fillId="0" borderId="0" xfId="1" applyNumberFormat="1" applyFont="1"/>
    <xf numFmtId="14" fontId="0" fillId="0" borderId="0" xfId="0" applyNumberFormat="1" applyFill="1"/>
    <xf numFmtId="4" fontId="0" fillId="10" borderId="0" xfId="0" applyNumberFormat="1" applyFill="1" applyAlignment="1">
      <alignment horizontal="right"/>
    </xf>
    <xf numFmtId="165" fontId="20" fillId="10" borderId="0" xfId="1" applyNumberFormat="1" applyFont="1" applyFill="1"/>
    <xf numFmtId="41" fontId="0" fillId="0" borderId="0" xfId="1" applyFont="1" applyAlignment="1">
      <alignment horizontal="right"/>
    </xf>
    <xf numFmtId="41" fontId="0" fillId="0" borderId="0" xfId="1" applyFont="1" applyFill="1" applyBorder="1"/>
    <xf numFmtId="0" fontId="1" fillId="0" borderId="0" xfId="0" applyFont="1" applyFill="1" applyBorder="1" applyAlignment="1">
      <alignment horizontal="left" vertical="top"/>
    </xf>
    <xf numFmtId="0" fontId="0" fillId="0" borderId="0" xfId="0" applyFill="1" applyBorder="1"/>
    <xf numFmtId="3" fontId="0" fillId="0" borderId="0" xfId="0" applyNumberFormat="1" applyFill="1" applyBorder="1"/>
    <xf numFmtId="41" fontId="20" fillId="0" borderId="0" xfId="0" applyNumberFormat="1" applyFont="1"/>
    <xf numFmtId="43" fontId="20" fillId="0" borderId="0" xfId="0" applyNumberFormat="1" applyFont="1"/>
    <xf numFmtId="4" fontId="56" fillId="9" borderId="0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166" fontId="19" fillId="0" borderId="0" xfId="2" applyNumberFormat="1" applyFont="1" applyAlignment="1">
      <alignment horizontal="center"/>
    </xf>
    <xf numFmtId="166" fontId="20" fillId="0" borderId="0" xfId="2" applyNumberFormat="1" applyFont="1"/>
    <xf numFmtId="166" fontId="0" fillId="0" borderId="0" xfId="2" applyNumberFormat="1" applyFont="1"/>
    <xf numFmtId="3" fontId="19" fillId="0" borderId="0" xfId="0" applyNumberFormat="1" applyFont="1" applyAlignment="1">
      <alignment horizontal="center"/>
    </xf>
    <xf numFmtId="3" fontId="0" fillId="0" borderId="0" xfId="1" applyNumberFormat="1" applyFont="1"/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 vertical="center"/>
    </xf>
    <xf numFmtId="41" fontId="10" fillId="0" borderId="0" xfId="1" applyFont="1"/>
    <xf numFmtId="41" fontId="8" fillId="0" borderId="0" xfId="1" applyFont="1"/>
    <xf numFmtId="41" fontId="10" fillId="0" borderId="0" xfId="1" applyFont="1" applyBorder="1"/>
    <xf numFmtId="165" fontId="0" fillId="0" borderId="0" xfId="1" applyNumberFormat="1" applyFont="1"/>
    <xf numFmtId="0" fontId="0" fillId="0" borderId="0" xfId="0" applyFont="1" applyFill="1" applyBorder="1"/>
    <xf numFmtId="43" fontId="0" fillId="0" borderId="0" xfId="0" applyNumberFormat="1"/>
    <xf numFmtId="4" fontId="8" fillId="0" borderId="0" xfId="0" applyNumberFormat="1" applyFont="1" applyFill="1" applyAlignment="1">
      <alignment horizontal="left"/>
    </xf>
    <xf numFmtId="4" fontId="5" fillId="0" borderId="0" xfId="0" applyNumberFormat="1" applyFont="1" applyFill="1" applyAlignment="1">
      <alignment horizontal="left"/>
    </xf>
    <xf numFmtId="4" fontId="0" fillId="0" borderId="0" xfId="0" applyNumberFormat="1" applyFill="1" applyAlignment="1">
      <alignment horizontal="left"/>
    </xf>
    <xf numFmtId="4" fontId="0" fillId="0" borderId="0" xfId="0" applyNumberFormat="1" applyFill="1" applyAlignment="1">
      <alignment horizontal="center"/>
    </xf>
    <xf numFmtId="165" fontId="20" fillId="0" borderId="0" xfId="1" applyNumberFormat="1" applyFont="1" applyFill="1"/>
    <xf numFmtId="165" fontId="0" fillId="0" borderId="0" xfId="1" applyNumberFormat="1" applyFont="1" applyFill="1" applyBorder="1"/>
    <xf numFmtId="14" fontId="0" fillId="0" borderId="0" xfId="0" applyNumberFormat="1" applyBorder="1"/>
    <xf numFmtId="0" fontId="1" fillId="11" borderId="0" xfId="0" applyFont="1" applyFill="1" applyBorder="1" applyAlignment="1">
      <alignment horizontal="left" vertical="top"/>
    </xf>
    <xf numFmtId="0" fontId="1" fillId="10" borderId="0" xfId="0" applyFont="1" applyFill="1" applyBorder="1" applyAlignment="1">
      <alignment horizontal="left" vertical="top"/>
    </xf>
    <xf numFmtId="3" fontId="0" fillId="10" borderId="0" xfId="0" applyNumberFormat="1" applyFill="1" applyBorder="1"/>
    <xf numFmtId="41" fontId="8" fillId="0" borderId="0" xfId="0" applyNumberFormat="1" applyFont="1"/>
    <xf numFmtId="14" fontId="0" fillId="0" borderId="0" xfId="0" applyNumberFormat="1" applyFill="1" applyBorder="1"/>
    <xf numFmtId="0" fontId="20" fillId="0" borderId="0" xfId="0" applyFont="1" applyFill="1"/>
    <xf numFmtId="41" fontId="20" fillId="0" borderId="0" xfId="1" applyFont="1" applyFill="1"/>
    <xf numFmtId="0" fontId="0" fillId="15" borderId="0" xfId="0" applyFill="1"/>
    <xf numFmtId="0" fontId="0" fillId="11" borderId="0" xfId="0" applyFill="1"/>
    <xf numFmtId="0" fontId="0" fillId="11" borderId="0" xfId="0" applyFill="1" applyBorder="1"/>
    <xf numFmtId="165" fontId="0" fillId="11" borderId="0" xfId="1" applyNumberFormat="1" applyFont="1" applyFill="1" applyBorder="1"/>
    <xf numFmtId="0" fontId="1" fillId="15" borderId="0" xfId="0" applyFont="1" applyFill="1"/>
    <xf numFmtId="41" fontId="54" fillId="15" borderId="0" xfId="1" applyFont="1" applyFill="1"/>
    <xf numFmtId="0" fontId="10" fillId="10" borderId="3" xfId="0" quotePrefix="1" applyFont="1" applyFill="1" applyBorder="1"/>
    <xf numFmtId="0" fontId="10" fillId="11" borderId="3" xfId="0" quotePrefix="1" applyFont="1" applyFill="1" applyBorder="1"/>
    <xf numFmtId="0" fontId="10" fillId="11" borderId="3" xfId="0" applyFont="1" applyFill="1" applyBorder="1"/>
    <xf numFmtId="2" fontId="0" fillId="0" borderId="0" xfId="0" applyNumberFormat="1"/>
    <xf numFmtId="165" fontId="0" fillId="0" borderId="0" xfId="1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10" fillId="0" borderId="3" xfId="0" applyFont="1" applyBorder="1" applyAlignment="1">
      <alignment horizontal="center"/>
    </xf>
    <xf numFmtId="14" fontId="1" fillId="0" borderId="0" xfId="0" applyNumberFormat="1" applyFont="1" applyAlignment="1">
      <alignment horizontal="right"/>
    </xf>
    <xf numFmtId="0" fontId="10" fillId="14" borderId="0" xfId="0" applyFont="1" applyFill="1" applyBorder="1"/>
    <xf numFmtId="0" fontId="10" fillId="0" borderId="10" xfId="0" applyFont="1" applyBorder="1"/>
    <xf numFmtId="0" fontId="10" fillId="6" borderId="0" xfId="0" applyFont="1" applyFill="1" applyBorder="1"/>
    <xf numFmtId="0" fontId="10" fillId="0" borderId="11" xfId="0" applyFont="1" applyBorder="1"/>
    <xf numFmtId="4" fontId="10" fillId="14" borderId="0" xfId="0" applyNumberFormat="1" applyFont="1" applyFill="1" applyBorder="1"/>
    <xf numFmtId="0" fontId="10" fillId="0" borderId="12" xfId="0" applyFont="1" applyBorder="1"/>
    <xf numFmtId="4" fontId="10" fillId="6" borderId="0" xfId="0" applyNumberFormat="1" applyFont="1" applyFill="1" applyBorder="1"/>
    <xf numFmtId="43" fontId="5" fillId="15" borderId="10" xfId="0" applyNumberFormat="1" applyFont="1" applyFill="1" applyBorder="1"/>
    <xf numFmtId="0" fontId="0" fillId="15" borderId="11" xfId="0" applyFill="1" applyBorder="1"/>
    <xf numFmtId="4" fontId="9" fillId="0" borderId="0" xfId="0" applyNumberFormat="1" applyFont="1" applyFill="1" applyBorder="1"/>
    <xf numFmtId="0" fontId="10" fillId="0" borderId="5" xfId="0" applyFont="1" applyBorder="1"/>
    <xf numFmtId="4" fontId="40" fillId="0" borderId="0" xfId="0" applyNumberFormat="1" applyFont="1" applyFill="1" applyBorder="1" applyAlignment="1">
      <alignment horizontal="right"/>
    </xf>
    <xf numFmtId="165" fontId="5" fillId="15" borderId="12" xfId="1" applyNumberFormat="1" applyFont="1" applyFill="1" applyBorder="1"/>
    <xf numFmtId="0" fontId="9" fillId="0" borderId="0" xfId="0" applyFont="1" applyBorder="1" applyAlignment="1">
      <alignment horizontal="center" vertical="center" wrapText="1"/>
    </xf>
    <xf numFmtId="0" fontId="4" fillId="10" borderId="22" xfId="0" applyFont="1" applyFill="1" applyBorder="1" applyAlignment="1">
      <alignment horizontal="center" vertical="center"/>
    </xf>
    <xf numFmtId="3" fontId="16" fillId="10" borderId="29" xfId="0" applyNumberFormat="1" applyFont="1" applyFill="1" applyBorder="1"/>
    <xf numFmtId="3" fontId="16" fillId="11" borderId="29" xfId="0" applyNumberFormat="1" applyFont="1" applyFill="1" applyBorder="1"/>
    <xf numFmtId="3" fontId="16" fillId="2" borderId="29" xfId="0" applyNumberFormat="1" applyFont="1" applyFill="1" applyBorder="1"/>
    <xf numFmtId="3" fontId="16" fillId="10" borderId="48" xfId="0" applyNumberFormat="1" applyFont="1" applyFill="1" applyBorder="1"/>
    <xf numFmtId="3" fontId="16" fillId="10" borderId="49" xfId="0" applyNumberFormat="1" applyFont="1" applyFill="1" applyBorder="1"/>
    <xf numFmtId="0" fontId="4" fillId="11" borderId="35" xfId="0" applyFont="1" applyFill="1" applyBorder="1" applyAlignment="1">
      <alignment horizontal="center" vertical="center"/>
    </xf>
    <xf numFmtId="41" fontId="2" fillId="11" borderId="3" xfId="1" applyFont="1" applyFill="1" applyBorder="1"/>
    <xf numFmtId="0" fontId="10" fillId="18" borderId="3" xfId="0" quotePrefix="1" applyFont="1" applyFill="1" applyBorder="1" applyAlignment="1">
      <alignment horizontal="center"/>
    </xf>
    <xf numFmtId="0" fontId="1" fillId="18" borderId="3" xfId="0" applyFont="1" applyFill="1" applyBorder="1"/>
    <xf numFmtId="0" fontId="1" fillId="18" borderId="3" xfId="0" quotePrefix="1" applyFont="1" applyFill="1" applyBorder="1"/>
    <xf numFmtId="3" fontId="2" fillId="18" borderId="3" xfId="0" applyNumberFormat="1" applyFont="1" applyFill="1" applyBorder="1"/>
    <xf numFmtId="4" fontId="2" fillId="18" borderId="3" xfId="0" applyNumberFormat="1" applyFont="1" applyFill="1" applyBorder="1"/>
    <xf numFmtId="3" fontId="16" fillId="18" borderId="29" xfId="0" applyNumberFormat="1" applyFont="1" applyFill="1" applyBorder="1"/>
    <xf numFmtId="3" fontId="16" fillId="18" borderId="48" xfId="0" applyNumberFormat="1" applyFont="1" applyFill="1" applyBorder="1"/>
    <xf numFmtId="3" fontId="16" fillId="18" borderId="49" xfId="0" applyNumberFormat="1" applyFont="1" applyFill="1" applyBorder="1"/>
    <xf numFmtId="3" fontId="22" fillId="10" borderId="24" xfId="0" applyNumberFormat="1" applyFont="1" applyFill="1" applyBorder="1"/>
    <xf numFmtId="0" fontId="8" fillId="10" borderId="28" xfId="0" applyFont="1" applyFill="1" applyBorder="1"/>
    <xf numFmtId="4" fontId="22" fillId="10" borderId="26" xfId="0" applyNumberFormat="1" applyFont="1" applyFill="1" applyBorder="1" applyAlignment="1"/>
    <xf numFmtId="3" fontId="5" fillId="11" borderId="20" xfId="0" applyNumberFormat="1" applyFont="1" applyFill="1" applyBorder="1" applyAlignment="1">
      <alignment vertical="center"/>
    </xf>
    <xf numFmtId="3" fontId="61" fillId="12" borderId="30" xfId="0" applyNumberFormat="1" applyFont="1" applyFill="1" applyBorder="1" applyAlignment="1">
      <alignment vertical="center"/>
    </xf>
    <xf numFmtId="4" fontId="42" fillId="10" borderId="26" xfId="0" applyNumberFormat="1" applyFont="1" applyFill="1" applyBorder="1" applyAlignment="1"/>
    <xf numFmtId="4" fontId="22" fillId="11" borderId="27" xfId="0" applyNumberFormat="1" applyFont="1" applyFill="1" applyBorder="1"/>
    <xf numFmtId="4" fontId="43" fillId="3" borderId="9" xfId="0" applyNumberFormat="1" applyFont="1" applyFill="1" applyBorder="1"/>
    <xf numFmtId="4" fontId="42" fillId="16" borderId="13" xfId="0" applyNumberFormat="1" applyFont="1" applyFill="1" applyBorder="1" applyAlignment="1"/>
    <xf numFmtId="4" fontId="42" fillId="16" borderId="14" xfId="0" applyNumberFormat="1" applyFont="1" applyFill="1" applyBorder="1" applyAlignment="1"/>
    <xf numFmtId="3" fontId="2" fillId="16" borderId="6" xfId="0" applyNumberFormat="1" applyFont="1" applyFill="1" applyBorder="1"/>
    <xf numFmtId="3" fontId="2" fillId="16" borderId="7" xfId="0" applyNumberFormat="1" applyFont="1" applyFill="1" applyBorder="1"/>
    <xf numFmtId="0" fontId="10" fillId="0" borderId="4" xfId="0" applyFont="1" applyBorder="1" applyAlignment="1">
      <alignment horizontal="center"/>
    </xf>
    <xf numFmtId="0" fontId="10" fillId="16" borderId="8" xfId="0" applyFont="1" applyFill="1" applyBorder="1" applyAlignment="1">
      <alignment horizontal="center"/>
    </xf>
    <xf numFmtId="0" fontId="1" fillId="16" borderId="52" xfId="0" applyFont="1" applyFill="1" applyBorder="1" applyAlignment="1">
      <alignment horizontal="center"/>
    </xf>
    <xf numFmtId="0" fontId="10" fillId="16" borderId="52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3" fontId="2" fillId="16" borderId="14" xfId="0" applyNumberFormat="1" applyFont="1" applyFill="1" applyBorder="1"/>
    <xf numFmtId="0" fontId="1" fillId="0" borderId="0" xfId="0" applyFont="1" applyFill="1" applyBorder="1"/>
    <xf numFmtId="3" fontId="2" fillId="17" borderId="48" xfId="0" applyNumberFormat="1" applyFont="1" applyFill="1" applyBorder="1"/>
    <xf numFmtId="165" fontId="1" fillId="0" borderId="0" xfId="1" applyNumberFormat="1" applyFont="1" applyAlignment="1">
      <alignment horizontal="center"/>
    </xf>
    <xf numFmtId="41" fontId="0" fillId="0" borderId="0" xfId="1" applyFont="1" applyAlignment="1">
      <alignment horizontal="center"/>
    </xf>
    <xf numFmtId="41" fontId="0" fillId="10" borderId="0" xfId="1" applyFont="1" applyFill="1" applyBorder="1"/>
    <xf numFmtId="41" fontId="27" fillId="0" borderId="0" xfId="1" applyFont="1" applyAlignment="1">
      <alignment horizontal="right"/>
    </xf>
    <xf numFmtId="41" fontId="46" fillId="0" borderId="0" xfId="1" applyFont="1" applyAlignment="1">
      <alignment horizontal="right"/>
    </xf>
    <xf numFmtId="41" fontId="1" fillId="0" borderId="0" xfId="1" quotePrefix="1" applyFont="1"/>
    <xf numFmtId="41" fontId="8" fillId="0" borderId="0" xfId="1" applyFont="1" applyAlignment="1">
      <alignment horizontal="right"/>
    </xf>
    <xf numFmtId="41" fontId="0" fillId="3" borderId="0" xfId="1" applyFont="1" applyFill="1" applyAlignment="1">
      <alignment horizontal="right"/>
    </xf>
    <xf numFmtId="14" fontId="0" fillId="0" borderId="0" xfId="1" applyNumberFormat="1" applyFont="1"/>
    <xf numFmtId="4" fontId="1" fillId="10" borderId="0" xfId="0" applyNumberFormat="1" applyFont="1" applyFill="1" applyAlignment="1">
      <alignment horizontal="right"/>
    </xf>
    <xf numFmtId="41" fontId="1" fillId="10" borderId="0" xfId="1" applyFont="1" applyFill="1"/>
    <xf numFmtId="41" fontId="0" fillId="0" borderId="0" xfId="1" applyFont="1" applyFill="1"/>
    <xf numFmtId="3" fontId="0" fillId="0" borderId="0" xfId="0" applyNumberFormat="1" applyAlignment="1">
      <alignment horizontal="right"/>
    </xf>
    <xf numFmtId="0" fontId="36" fillId="0" borderId="0" xfId="0" applyFont="1" applyAlignment="1">
      <alignment horizontal="center"/>
    </xf>
    <xf numFmtId="0" fontId="52" fillId="0" borderId="0" xfId="0" applyFont="1" applyAlignment="1">
      <alignment horizontal="right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vertical="center"/>
    </xf>
    <xf numFmtId="0" fontId="0" fillId="0" borderId="0" xfId="0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3" xfId="0" quotePrefix="1" applyFont="1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1" fillId="0" borderId="53" xfId="0" quotePrefix="1" applyFont="1" applyBorder="1" applyAlignment="1">
      <alignment vertical="center"/>
    </xf>
    <xf numFmtId="0" fontId="0" fillId="0" borderId="53" xfId="0" quotePrefix="1" applyBorder="1" applyAlignment="1">
      <alignment vertical="center"/>
    </xf>
    <xf numFmtId="41" fontId="29" fillId="0" borderId="0" xfId="1" applyFont="1"/>
    <xf numFmtId="165" fontId="0" fillId="0" borderId="0" xfId="1" applyNumberFormat="1" applyFont="1" applyAlignment="1">
      <alignment horizontal="center"/>
    </xf>
    <xf numFmtId="165" fontId="27" fillId="0" borderId="0" xfId="1" applyNumberFormat="1" applyFont="1" applyAlignment="1">
      <alignment horizontal="right"/>
    </xf>
    <xf numFmtId="0" fontId="10" fillId="18" borderId="3" xfId="0" quotePrefix="1" applyFont="1" applyFill="1" applyBorder="1"/>
    <xf numFmtId="0" fontId="18" fillId="0" borderId="0" xfId="0" applyFont="1"/>
    <xf numFmtId="3" fontId="18" fillId="0" borderId="0" xfId="0" applyNumberFormat="1" applyFont="1"/>
    <xf numFmtId="0" fontId="0" fillId="11" borderId="10" xfId="0" applyFill="1" applyBorder="1"/>
    <xf numFmtId="0" fontId="0" fillId="11" borderId="11" xfId="0" applyFill="1" applyBorder="1"/>
    <xf numFmtId="165" fontId="0" fillId="11" borderId="12" xfId="1" applyNumberFormat="1" applyFont="1" applyFill="1" applyBorder="1"/>
    <xf numFmtId="0" fontId="10" fillId="14" borderId="10" xfId="0" applyFont="1" applyFill="1" applyBorder="1"/>
    <xf numFmtId="0" fontId="10" fillId="14" borderId="11" xfId="0" applyFont="1" applyFill="1" applyBorder="1"/>
    <xf numFmtId="4" fontId="10" fillId="14" borderId="12" xfId="0" applyNumberFormat="1" applyFont="1" applyFill="1" applyBorder="1"/>
    <xf numFmtId="14" fontId="20" fillId="0" borderId="0" xfId="0" applyNumberFormat="1" applyFont="1" applyFill="1" applyAlignment="1">
      <alignment horizontal="left"/>
    </xf>
    <xf numFmtId="4" fontId="20" fillId="0" borderId="0" xfId="0" applyNumberFormat="1" applyFont="1" applyFill="1" applyAlignment="1">
      <alignment horizontal="right"/>
    </xf>
    <xf numFmtId="4" fontId="20" fillId="0" borderId="0" xfId="0" applyNumberFormat="1" applyFont="1" applyFill="1" applyAlignment="1">
      <alignment horizontal="left"/>
    </xf>
    <xf numFmtId="0" fontId="20" fillId="0" borderId="0" xfId="0" quotePrefix="1" applyFont="1" applyFill="1" applyAlignment="1">
      <alignment horizontal="left"/>
    </xf>
    <xf numFmtId="41" fontId="19" fillId="0" borderId="0" xfId="1" applyFont="1" applyFill="1" applyAlignment="1">
      <alignment horizontal="center"/>
    </xf>
    <xf numFmtId="4" fontId="21" fillId="0" borderId="0" xfId="0" applyNumberFormat="1" applyFont="1" applyFill="1" applyAlignment="1">
      <alignment horizontal="left"/>
    </xf>
    <xf numFmtId="4" fontId="20" fillId="0" borderId="0" xfId="0" applyNumberFormat="1" applyFont="1" applyFill="1" applyAlignment="1">
      <alignment horizontal="center"/>
    </xf>
    <xf numFmtId="4" fontId="20" fillId="0" borderId="0" xfId="0" quotePrefix="1" applyNumberFormat="1" applyFont="1" applyFill="1" applyAlignment="1">
      <alignment horizontal="right"/>
    </xf>
    <xf numFmtId="41" fontId="0" fillId="0" borderId="0" xfId="1" applyFont="1" applyFill="1" applyAlignment="1">
      <alignment horizontal="right"/>
    </xf>
    <xf numFmtId="4" fontId="0" fillId="0" borderId="0" xfId="0" applyNumberFormat="1" applyFill="1"/>
    <xf numFmtId="0" fontId="5" fillId="0" borderId="0" xfId="0" applyFont="1" applyFill="1" applyAlignment="1">
      <alignment horizontal="left"/>
    </xf>
    <xf numFmtId="4" fontId="27" fillId="0" borderId="0" xfId="0" applyNumberFormat="1" applyFont="1" applyFill="1" applyAlignment="1">
      <alignment horizontal="right"/>
    </xf>
    <xf numFmtId="1" fontId="9" fillId="0" borderId="3" xfId="0" applyNumberFormat="1" applyFont="1" applyBorder="1" applyAlignment="1">
      <alignment horizontal="center"/>
    </xf>
    <xf numFmtId="4" fontId="64" fillId="0" borderId="0" xfId="0" applyNumberFormat="1" applyFont="1" applyBorder="1"/>
    <xf numFmtId="0" fontId="63" fillId="0" borderId="0" xfId="0" applyFont="1"/>
    <xf numFmtId="0" fontId="63" fillId="10" borderId="3" xfId="0" quotePrefix="1" applyFont="1" applyFill="1" applyBorder="1" applyAlignment="1">
      <alignment horizontal="center"/>
    </xf>
    <xf numFmtId="0" fontId="63" fillId="11" borderId="3" xfId="0" quotePrefix="1" applyFont="1" applyFill="1" applyBorder="1" applyAlignment="1">
      <alignment horizontal="center"/>
    </xf>
    <xf numFmtId="0" fontId="63" fillId="11" borderId="3" xfId="0" applyFont="1" applyFill="1" applyBorder="1"/>
    <xf numFmtId="0" fontId="63" fillId="11" borderId="3" xfId="0" quotePrefix="1" applyFont="1" applyFill="1" applyBorder="1"/>
    <xf numFmtId="3" fontId="64" fillId="11" borderId="3" xfId="0" applyNumberFormat="1" applyFont="1" applyFill="1" applyBorder="1"/>
    <xf numFmtId="4" fontId="64" fillId="11" borderId="3" xfId="0" applyNumberFormat="1" applyFont="1" applyFill="1" applyBorder="1"/>
    <xf numFmtId="3" fontId="64" fillId="11" borderId="29" xfId="0" applyNumberFormat="1" applyFont="1" applyFill="1" applyBorder="1"/>
    <xf numFmtId="0" fontId="12" fillId="0" borderId="0" xfId="0" applyFont="1" applyFill="1" applyAlignment="1"/>
    <xf numFmtId="0" fontId="15" fillId="0" borderId="0" xfId="0" applyFont="1" applyFill="1" applyBorder="1" applyAlignment="1">
      <alignment horizontal="center" vertical="center"/>
    </xf>
    <xf numFmtId="3" fontId="59" fillId="0" borderId="0" xfId="0" applyNumberFormat="1" applyFont="1" applyFill="1" applyBorder="1"/>
    <xf numFmtId="41" fontId="10" fillId="0" borderId="0" xfId="1" applyFont="1" applyFill="1"/>
    <xf numFmtId="3" fontId="16" fillId="11" borderId="3" xfId="0" applyNumberFormat="1" applyFont="1" applyFill="1" applyBorder="1"/>
    <xf numFmtId="4" fontId="20" fillId="0" borderId="0" xfId="0" applyNumberFormat="1" applyFont="1" applyFill="1"/>
    <xf numFmtId="0" fontId="66" fillId="11" borderId="3" xfId="3" quotePrefix="1" applyFill="1" applyBorder="1" applyAlignment="1">
      <alignment horizontal="center"/>
    </xf>
    <xf numFmtId="4" fontId="1" fillId="0" borderId="0" xfId="0" applyNumberFormat="1" applyFont="1" applyBorder="1"/>
    <xf numFmtId="4" fontId="0" fillId="0" borderId="0" xfId="0" applyNumberFormat="1" applyFill="1" applyBorder="1" applyAlignment="1">
      <alignment horizontal="right"/>
    </xf>
    <xf numFmtId="3" fontId="2" fillId="17" borderId="50" xfId="0" applyNumberFormat="1" applyFont="1" applyFill="1" applyBorder="1"/>
    <xf numFmtId="3" fontId="2" fillId="17" borderId="54" xfId="0" applyNumberFormat="1" applyFont="1" applyFill="1" applyBorder="1"/>
    <xf numFmtId="3" fontId="2" fillId="17" borderId="34" xfId="0" applyNumberFormat="1" applyFont="1" applyFill="1" applyBorder="1"/>
    <xf numFmtId="3" fontId="2" fillId="17" borderId="55" xfId="0" applyNumberFormat="1" applyFont="1" applyFill="1" applyBorder="1"/>
    <xf numFmtId="43" fontId="16" fillId="0" borderId="18" xfId="2" applyFont="1" applyBorder="1"/>
    <xf numFmtId="0" fontId="10" fillId="0" borderId="13" xfId="0" applyFont="1" applyBorder="1"/>
    <xf numFmtId="0" fontId="10" fillId="6" borderId="10" xfId="0" applyFont="1" applyFill="1" applyBorder="1"/>
    <xf numFmtId="0" fontId="10" fillId="0" borderId="14" xfId="0" applyFont="1" applyBorder="1"/>
    <xf numFmtId="0" fontId="10" fillId="6" borderId="11" xfId="0" applyFont="1" applyFill="1" applyBorder="1"/>
    <xf numFmtId="4" fontId="10" fillId="6" borderId="12" xfId="0" applyNumberFormat="1" applyFont="1" applyFill="1" applyBorder="1"/>
    <xf numFmtId="3" fontId="64" fillId="17" borderId="54" xfId="0" applyNumberFormat="1" applyFont="1" applyFill="1" applyBorder="1"/>
    <xf numFmtId="3" fontId="64" fillId="17" borderId="55" xfId="0" applyNumberFormat="1" applyFont="1" applyFill="1" applyBorder="1"/>
    <xf numFmtId="3" fontId="2" fillId="17" borderId="49" xfId="0" applyNumberFormat="1" applyFont="1" applyFill="1" applyBorder="1"/>
    <xf numFmtId="16" fontId="0" fillId="0" borderId="0" xfId="0" applyNumberFormat="1" applyFill="1"/>
    <xf numFmtId="0" fontId="19" fillId="0" borderId="0" xfId="0" quotePrefix="1" applyFont="1" applyAlignment="1">
      <alignment horizontal="left"/>
    </xf>
    <xf numFmtId="16" fontId="1" fillId="0" borderId="0" xfId="0" applyNumberFormat="1" applyFont="1" applyFill="1"/>
    <xf numFmtId="14" fontId="1" fillId="0" borderId="0" xfId="0" applyNumberFormat="1" applyFont="1"/>
    <xf numFmtId="3" fontId="16" fillId="14" borderId="54" xfId="0" applyNumberFormat="1" applyFont="1" applyFill="1" applyBorder="1"/>
    <xf numFmtId="3" fontId="16" fillId="14" borderId="55" xfId="0" applyNumberFormat="1" applyFont="1" applyFill="1" applyBorder="1"/>
    <xf numFmtId="0" fontId="10" fillId="14" borderId="0" xfId="0" applyFont="1" applyFill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0" fillId="0" borderId="28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4" fontId="8" fillId="0" borderId="0" xfId="1" applyNumberFormat="1" applyFont="1" applyAlignment="1">
      <alignment horizontal="right"/>
    </xf>
    <xf numFmtId="14" fontId="0" fillId="0" borderId="0" xfId="1" applyNumberFormat="1" applyFont="1" applyAlignment="1">
      <alignment horizontal="right"/>
    </xf>
    <xf numFmtId="0" fontId="0" fillId="0" borderId="0" xfId="0" quotePrefix="1"/>
    <xf numFmtId="0" fontId="63" fillId="14" borderId="3" xfId="0" quotePrefix="1" applyFont="1" applyFill="1" applyBorder="1" applyAlignment="1">
      <alignment horizontal="center"/>
    </xf>
    <xf numFmtId="0" fontId="66" fillId="14" borderId="3" xfId="3" quotePrefix="1" applyFill="1" applyBorder="1" applyAlignment="1">
      <alignment horizontal="center"/>
    </xf>
    <xf numFmtId="0" fontId="1" fillId="14" borderId="3" xfId="0" applyFont="1" applyFill="1" applyBorder="1"/>
    <xf numFmtId="0" fontId="10" fillId="14" borderId="3" xfId="0" quotePrefix="1" applyFont="1" applyFill="1" applyBorder="1"/>
    <xf numFmtId="3" fontId="2" fillId="14" borderId="3" xfId="0" applyNumberFormat="1" applyFont="1" applyFill="1" applyBorder="1"/>
    <xf numFmtId="4" fontId="2" fillId="14" borderId="3" xfId="0" applyNumberFormat="1" applyFont="1" applyFill="1" applyBorder="1"/>
    <xf numFmtId="3" fontId="16" fillId="14" borderId="29" xfId="0" applyNumberFormat="1" applyFont="1" applyFill="1" applyBorder="1"/>
    <xf numFmtId="0" fontId="1" fillId="14" borderId="3" xfId="0" quotePrefix="1" applyFont="1" applyFill="1" applyBorder="1"/>
    <xf numFmtId="14" fontId="1" fillId="14" borderId="3" xfId="0" quotePrefix="1" applyNumberFormat="1" applyFont="1" applyFill="1" applyBorder="1" applyAlignment="1">
      <alignment horizontal="center"/>
    </xf>
    <xf numFmtId="3" fontId="2" fillId="14" borderId="29" xfId="0" applyNumberFormat="1" applyFont="1" applyFill="1" applyBorder="1"/>
    <xf numFmtId="0" fontId="66" fillId="14" borderId="3" xfId="3" quotePrefix="1" applyFill="1" applyBorder="1"/>
    <xf numFmtId="3" fontId="16" fillId="14" borderId="3" xfId="0" applyNumberFormat="1" applyFont="1" applyFill="1" applyBorder="1"/>
    <xf numFmtId="0" fontId="63" fillId="14" borderId="3" xfId="0" applyFont="1" applyFill="1" applyBorder="1"/>
    <xf numFmtId="0" fontId="63" fillId="14" borderId="3" xfId="0" quotePrefix="1" applyFont="1" applyFill="1" applyBorder="1"/>
    <xf numFmtId="3" fontId="64" fillId="14" borderId="3" xfId="0" applyNumberFormat="1" applyFont="1" applyFill="1" applyBorder="1"/>
    <xf numFmtId="4" fontId="64" fillId="14" borderId="3" xfId="0" applyNumberFormat="1" applyFont="1" applyFill="1" applyBorder="1"/>
    <xf numFmtId="0" fontId="10" fillId="14" borderId="3" xfId="0" quotePrefix="1" applyFont="1" applyFill="1" applyBorder="1" applyAlignment="1">
      <alignment horizontal="center"/>
    </xf>
    <xf numFmtId="0" fontId="66" fillId="14" borderId="0" xfId="3" quotePrefix="1" applyFill="1" applyBorder="1"/>
    <xf numFmtId="0" fontId="63" fillId="14" borderId="0" xfId="0" quotePrefix="1" applyFont="1" applyFill="1" applyBorder="1" applyAlignment="1">
      <alignment horizontal="center"/>
    </xf>
    <xf numFmtId="0" fontId="66" fillId="14" borderId="0" xfId="3" quotePrefix="1" applyFill="1"/>
    <xf numFmtId="0" fontId="63" fillId="19" borderId="3" xfId="0" quotePrefix="1" applyFont="1" applyFill="1" applyBorder="1" applyAlignment="1">
      <alignment horizontal="center"/>
    </xf>
    <xf numFmtId="0" fontId="1" fillId="19" borderId="3" xfId="0" applyFont="1" applyFill="1" applyBorder="1"/>
    <xf numFmtId="0" fontId="1" fillId="19" borderId="3" xfId="0" quotePrefix="1" applyFont="1" applyFill="1" applyBorder="1"/>
    <xf numFmtId="3" fontId="2" fillId="19" borderId="3" xfId="0" applyNumberFormat="1" applyFont="1" applyFill="1" applyBorder="1"/>
    <xf numFmtId="4" fontId="2" fillId="19" borderId="3" xfId="0" applyNumberFormat="1" applyFont="1" applyFill="1" applyBorder="1"/>
    <xf numFmtId="3" fontId="16" fillId="19" borderId="29" xfId="0" applyNumberFormat="1" applyFont="1" applyFill="1" applyBorder="1"/>
    <xf numFmtId="0" fontId="10" fillId="19" borderId="3" xfId="0" quotePrefix="1" applyFont="1" applyFill="1" applyBorder="1"/>
    <xf numFmtId="0" fontId="66" fillId="19" borderId="3" xfId="3" quotePrefix="1" applyFill="1" applyBorder="1" applyAlignment="1">
      <alignment horizontal="center"/>
    </xf>
    <xf numFmtId="0" fontId="67" fillId="14" borderId="0" xfId="3" quotePrefix="1" applyFont="1" applyFill="1" applyBorder="1"/>
    <xf numFmtId="3" fontId="64" fillId="14" borderId="29" xfId="0" applyNumberFormat="1" applyFont="1" applyFill="1" applyBorder="1"/>
    <xf numFmtId="0" fontId="4" fillId="10" borderId="58" xfId="0" applyFont="1" applyFill="1" applyBorder="1" applyAlignment="1">
      <alignment horizontal="center" vertical="center"/>
    </xf>
    <xf numFmtId="0" fontId="4" fillId="10" borderId="59" xfId="0" applyFont="1" applyFill="1" applyBorder="1" applyAlignment="1">
      <alignment horizontal="center" vertical="center"/>
    </xf>
    <xf numFmtId="0" fontId="66" fillId="11" borderId="0" xfId="3" quotePrefix="1" applyFill="1"/>
    <xf numFmtId="4" fontId="1" fillId="11" borderId="3" xfId="0" quotePrefix="1" applyNumberFormat="1" applyFont="1" applyFill="1" applyBorder="1"/>
    <xf numFmtId="3" fontId="1" fillId="11" borderId="3" xfId="0" applyNumberFormat="1" applyFont="1" applyFill="1" applyBorder="1"/>
    <xf numFmtId="3" fontId="59" fillId="11" borderId="3" xfId="0" applyNumberFormat="1" applyFont="1" applyFill="1" applyBorder="1"/>
    <xf numFmtId="14" fontId="0" fillId="0" borderId="0" xfId="0" applyNumberFormat="1" applyAlignment="1">
      <alignment horizontal="left"/>
    </xf>
    <xf numFmtId="0" fontId="66" fillId="0" borderId="0" xfId="3" quotePrefix="1"/>
    <xf numFmtId="41" fontId="20" fillId="10" borderId="0" xfId="1" applyFont="1" applyFill="1"/>
    <xf numFmtId="4" fontId="2" fillId="0" borderId="0" xfId="0" applyNumberFormat="1" applyFont="1" applyBorder="1"/>
    <xf numFmtId="0" fontId="1" fillId="6" borderId="0" xfId="0" applyFont="1" applyFill="1" applyBorder="1"/>
    <xf numFmtId="4" fontId="1" fillId="6" borderId="0" xfId="0" applyNumberFormat="1" applyFont="1" applyFill="1" applyBorder="1"/>
    <xf numFmtId="0" fontId="1" fillId="2" borderId="0" xfId="0" applyFont="1" applyFill="1"/>
    <xf numFmtId="14" fontId="1" fillId="11" borderId="3" xfId="0" quotePrefix="1" applyNumberFormat="1" applyFont="1" applyFill="1" applyBorder="1" applyAlignment="1">
      <alignment horizontal="center"/>
    </xf>
    <xf numFmtId="3" fontId="2" fillId="11" borderId="29" xfId="0" applyNumberFormat="1" applyFont="1" applyFill="1" applyBorder="1"/>
    <xf numFmtId="3" fontId="2" fillId="10" borderId="48" xfId="0" applyNumberFormat="1" applyFont="1" applyFill="1" applyBorder="1"/>
    <xf numFmtId="3" fontId="2" fillId="10" borderId="49" xfId="0" applyNumberFormat="1" applyFont="1" applyFill="1" applyBorder="1"/>
    <xf numFmtId="4" fontId="1" fillId="0" borderId="0" xfId="0" quotePrefix="1" applyNumberFormat="1" applyFont="1" applyAlignment="1">
      <alignment horizontal="left"/>
    </xf>
    <xf numFmtId="4" fontId="16" fillId="11" borderId="3" xfId="0" applyNumberFormat="1" applyFont="1" applyFill="1" applyBorder="1"/>
    <xf numFmtId="3" fontId="22" fillId="10" borderId="30" xfId="0" applyNumberFormat="1" applyFont="1" applyFill="1" applyBorder="1"/>
    <xf numFmtId="0" fontId="1" fillId="0" borderId="0" xfId="0" applyFont="1" applyAlignment="1">
      <alignment horizontal="right"/>
    </xf>
    <xf numFmtId="0" fontId="63" fillId="18" borderId="3" xfId="0" quotePrefix="1" applyFont="1" applyFill="1" applyBorder="1" applyAlignment="1">
      <alignment horizontal="center"/>
    </xf>
    <xf numFmtId="0" fontId="66" fillId="18" borderId="3" xfId="3" quotePrefix="1" applyFill="1" applyBorder="1" applyAlignment="1">
      <alignment horizontal="center"/>
    </xf>
    <xf numFmtId="3" fontId="2" fillId="12" borderId="3" xfId="0" applyNumberFormat="1" applyFont="1" applyFill="1" applyBorder="1"/>
    <xf numFmtId="0" fontId="10" fillId="6" borderId="13" xfId="0" applyFont="1" applyFill="1" applyBorder="1"/>
    <xf numFmtId="0" fontId="63" fillId="5" borderId="10" xfId="0" applyFont="1" applyFill="1" applyBorder="1"/>
    <xf numFmtId="0" fontId="10" fillId="6" borderId="14" xfId="0" applyFont="1" applyFill="1" applyBorder="1"/>
    <xf numFmtId="0" fontId="63" fillId="5" borderId="11" xfId="0" applyFont="1" applyFill="1" applyBorder="1"/>
    <xf numFmtId="4" fontId="10" fillId="6" borderId="5" xfId="0" applyNumberFormat="1" applyFont="1" applyFill="1" applyBorder="1"/>
    <xf numFmtId="4" fontId="65" fillId="5" borderId="12" xfId="0" applyNumberFormat="1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8" fillId="19" borderId="3" xfId="3" quotePrefix="1" applyFont="1" applyFill="1" applyBorder="1" applyAlignment="1">
      <alignment horizontal="center"/>
    </xf>
    <xf numFmtId="0" fontId="69" fillId="0" borderId="0" xfId="0" applyFont="1" applyFill="1"/>
    <xf numFmtId="0" fontId="69" fillId="0" borderId="3" xfId="3" quotePrefix="1" applyFont="1" applyFill="1" applyBorder="1" applyAlignment="1">
      <alignment horizontal="center" vertical="center"/>
    </xf>
    <xf numFmtId="0" fontId="69" fillId="0" borderId="3" xfId="0" applyFont="1" applyFill="1" applyBorder="1" applyAlignment="1">
      <alignment vertical="center"/>
    </xf>
    <xf numFmtId="14" fontId="5" fillId="0" borderId="0" xfId="0" applyNumberFormat="1" applyFont="1"/>
    <xf numFmtId="14" fontId="50" fillId="0" borderId="0" xfId="0" applyNumberFormat="1" applyFont="1" applyAlignment="1"/>
    <xf numFmtId="14" fontId="3" fillId="0" borderId="0" xfId="0" applyNumberFormat="1" applyFont="1" applyAlignment="1"/>
    <xf numFmtId="14" fontId="51" fillId="0" borderId="0" xfId="0" applyNumberFormat="1" applyFont="1"/>
    <xf numFmtId="1" fontId="5" fillId="0" borderId="3" xfId="0" applyNumberFormat="1" applyFont="1" applyBorder="1" applyAlignment="1">
      <alignment horizontal="center"/>
    </xf>
    <xf numFmtId="14" fontId="1" fillId="19" borderId="3" xfId="0" quotePrefix="1" applyNumberFormat="1" applyFont="1" applyFill="1" applyBorder="1" applyAlignment="1">
      <alignment horizontal="center"/>
    </xf>
    <xf numFmtId="14" fontId="1" fillId="18" borderId="3" xfId="0" quotePrefix="1" applyNumberFormat="1" applyFont="1" applyFill="1" applyBorder="1" applyAlignment="1">
      <alignment horizontal="center"/>
    </xf>
    <xf numFmtId="14" fontId="1" fillId="14" borderId="3" xfId="0" applyNumberFormat="1" applyFont="1" applyFill="1" applyBorder="1"/>
    <xf numFmtId="14" fontId="1" fillId="11" borderId="0" xfId="0" quotePrefix="1" applyNumberFormat="1" applyFont="1" applyFill="1" applyAlignment="1">
      <alignment horizontal="center"/>
    </xf>
    <xf numFmtId="14" fontId="1" fillId="10" borderId="3" xfId="0" quotePrefix="1" applyNumberFormat="1" applyFont="1" applyFill="1" applyBorder="1" applyAlignment="1">
      <alignment horizontal="center"/>
    </xf>
    <xf numFmtId="14" fontId="1" fillId="0" borderId="3" xfId="0" quotePrefix="1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16" borderId="52" xfId="0" applyNumberFormat="1" applyFont="1" applyFill="1" applyBorder="1" applyAlignment="1">
      <alignment horizontal="center"/>
    </xf>
    <xf numFmtId="4" fontId="63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left"/>
    </xf>
    <xf numFmtId="41" fontId="18" fillId="0" borderId="0" xfId="1" applyFont="1"/>
    <xf numFmtId="0" fontId="63" fillId="20" borderId="3" xfId="0" quotePrefix="1" applyFont="1" applyFill="1" applyBorder="1" applyAlignment="1">
      <alignment horizontal="center"/>
    </xf>
    <xf numFmtId="0" fontId="66" fillId="20" borderId="0" xfId="3" quotePrefix="1" applyFill="1" applyBorder="1" applyAlignment="1">
      <alignment horizontal="center"/>
    </xf>
    <xf numFmtId="0" fontId="68" fillId="20" borderId="3" xfId="3" quotePrefix="1" applyFont="1" applyFill="1" applyBorder="1" applyAlignment="1">
      <alignment horizontal="center"/>
    </xf>
    <xf numFmtId="14" fontId="1" fillId="20" borderId="3" xfId="0" quotePrefix="1" applyNumberFormat="1" applyFont="1" applyFill="1" applyBorder="1" applyAlignment="1">
      <alignment horizontal="center"/>
    </xf>
    <xf numFmtId="0" fontId="1" fillId="20" borderId="3" xfId="0" applyFont="1" applyFill="1" applyBorder="1"/>
    <xf numFmtId="0" fontId="1" fillId="20" borderId="3" xfId="0" quotePrefix="1" applyFont="1" applyFill="1" applyBorder="1"/>
    <xf numFmtId="3" fontId="2" fillId="20" borderId="3" xfId="0" applyNumberFormat="1" applyFont="1" applyFill="1" applyBorder="1"/>
    <xf numFmtId="4" fontId="2" fillId="20" borderId="3" xfId="0" applyNumberFormat="1" applyFont="1" applyFill="1" applyBorder="1"/>
    <xf numFmtId="41" fontId="62" fillId="0" borderId="0" xfId="1" applyFont="1" applyAlignment="1"/>
    <xf numFmtId="165" fontId="9" fillId="0" borderId="0" xfId="1" applyNumberFormat="1" applyFont="1" applyFill="1" applyBorder="1" applyAlignment="1">
      <alignment horizontal="center" vertical="center" wrapText="1"/>
    </xf>
    <xf numFmtId="3" fontId="2" fillId="21" borderId="48" xfId="0" applyNumberFormat="1" applyFont="1" applyFill="1" applyBorder="1"/>
    <xf numFmtId="3" fontId="2" fillId="21" borderId="49" xfId="0" applyNumberFormat="1" applyFont="1" applyFill="1" applyBorder="1"/>
    <xf numFmtId="4" fontId="16" fillId="0" borderId="0" xfId="0" applyNumberFormat="1" applyFont="1" applyFill="1" applyBorder="1" applyAlignment="1">
      <alignment horizontal="right"/>
    </xf>
    <xf numFmtId="165" fontId="15" fillId="0" borderId="0" xfId="1" applyNumberFormat="1" applyFont="1" applyFill="1" applyBorder="1" applyAlignment="1">
      <alignment horizontal="center" vertical="center"/>
    </xf>
    <xf numFmtId="4" fontId="70" fillId="0" borderId="0" xfId="0" applyNumberFormat="1" applyFont="1" applyFill="1" applyBorder="1" applyAlignment="1">
      <alignment horizontal="right"/>
    </xf>
    <xf numFmtId="9" fontId="0" fillId="0" borderId="0" xfId="0" applyNumberFormat="1"/>
    <xf numFmtId="0" fontId="1" fillId="11" borderId="0" xfId="0" applyFont="1" applyFill="1"/>
    <xf numFmtId="41" fontId="54" fillId="11" borderId="0" xfId="1" applyFont="1" applyFill="1" applyBorder="1"/>
    <xf numFmtId="43" fontId="5" fillId="15" borderId="0" xfId="0" applyNumberFormat="1" applyFont="1" applyFill="1"/>
    <xf numFmtId="41" fontId="1" fillId="15" borderId="0" xfId="1" applyFont="1" applyFill="1"/>
    <xf numFmtId="0" fontId="65" fillId="9" borderId="13" xfId="0" applyFont="1" applyFill="1" applyBorder="1" applyAlignment="1">
      <alignment horizontal="center"/>
    </xf>
    <xf numFmtId="41" fontId="65" fillId="9" borderId="14" xfId="0" applyNumberFormat="1" applyFont="1" applyFill="1" applyBorder="1" applyAlignment="1">
      <alignment horizontal="center"/>
    </xf>
    <xf numFmtId="41" fontId="65" fillId="11" borderId="1" xfId="0" applyNumberFormat="1" applyFont="1" applyFill="1" applyBorder="1" applyAlignment="1">
      <alignment horizontal="center"/>
    </xf>
    <xf numFmtId="0" fontId="65" fillId="11" borderId="20" xfId="0" applyFont="1" applyFill="1" applyBorder="1" applyAlignment="1">
      <alignment horizontal="center"/>
    </xf>
    <xf numFmtId="167" fontId="16" fillId="0" borderId="0" xfId="0" applyNumberFormat="1" applyFont="1" applyFill="1" applyBorder="1"/>
    <xf numFmtId="4" fontId="9" fillId="0" borderId="0" xfId="0" applyNumberFormat="1" applyFont="1" applyFill="1" applyBorder="1" applyAlignment="1">
      <alignment horizontal="center" vertical="center" wrapText="1"/>
    </xf>
    <xf numFmtId="0" fontId="69" fillId="0" borderId="4" xfId="0" applyFont="1" applyFill="1" applyBorder="1" applyAlignment="1">
      <alignment vertical="center"/>
    </xf>
    <xf numFmtId="0" fontId="69" fillId="0" borderId="5" xfId="0" applyFont="1" applyFill="1" applyBorder="1" applyAlignment="1">
      <alignment horizontal="left" vertical="center"/>
    </xf>
    <xf numFmtId="0" fontId="0" fillId="0" borderId="5" xfId="0" applyBorder="1"/>
    <xf numFmtId="3" fontId="0" fillId="0" borderId="0" xfId="0" applyNumberFormat="1" applyFill="1"/>
    <xf numFmtId="14" fontId="1" fillId="11" borderId="3" xfId="0" applyNumberFormat="1" applyFont="1" applyFill="1" applyBorder="1" applyAlignment="1">
      <alignment horizontal="center"/>
    </xf>
    <xf numFmtId="41" fontId="20" fillId="22" borderId="0" xfId="1" applyFont="1" applyFill="1"/>
    <xf numFmtId="4" fontId="63" fillId="0" borderId="0" xfId="0" applyNumberFormat="1" applyFont="1" applyFill="1" applyAlignment="1">
      <alignment horizontal="right"/>
    </xf>
    <xf numFmtId="0" fontId="73" fillId="0" borderId="0" xfId="0" applyFont="1"/>
    <xf numFmtId="4" fontId="73" fillId="0" borderId="0" xfId="0" applyNumberFormat="1" applyFont="1" applyAlignment="1">
      <alignment horizontal="right"/>
    </xf>
    <xf numFmtId="0" fontId="68" fillId="18" borderId="3" xfId="3" quotePrefix="1" applyFont="1" applyFill="1" applyBorder="1" applyAlignment="1">
      <alignment horizontal="center"/>
    </xf>
    <xf numFmtId="0" fontId="66" fillId="10" borderId="3" xfId="3" quotePrefix="1" applyFill="1" applyBorder="1" applyAlignment="1">
      <alignment horizontal="center"/>
    </xf>
    <xf numFmtId="3" fontId="5" fillId="11" borderId="28" xfId="0" applyNumberFormat="1" applyFont="1" applyFill="1" applyBorder="1" applyAlignment="1">
      <alignment horizontal="center" vertical="center"/>
    </xf>
    <xf numFmtId="3" fontId="5" fillId="11" borderId="26" xfId="0" applyNumberFormat="1" applyFont="1" applyFill="1" applyBorder="1" applyAlignment="1">
      <alignment horizontal="center" vertical="center"/>
    </xf>
    <xf numFmtId="3" fontId="5" fillId="11" borderId="27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60" fillId="10" borderId="20" xfId="0" applyFont="1" applyFill="1" applyBorder="1" applyAlignment="1">
      <alignment horizontal="center" vertical="center" wrapText="1"/>
    </xf>
    <xf numFmtId="0" fontId="60" fillId="10" borderId="1" xfId="0" applyFont="1" applyFill="1" applyBorder="1" applyAlignment="1">
      <alignment horizontal="center" vertical="center" wrapText="1"/>
    </xf>
    <xf numFmtId="0" fontId="49" fillId="17" borderId="20" xfId="0" applyFont="1" applyFill="1" applyBorder="1" applyAlignment="1">
      <alignment horizontal="center" vertical="center" wrapText="1"/>
    </xf>
    <xf numFmtId="0" fontId="49" fillId="17" borderId="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4" fillId="11" borderId="50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10" borderId="56" xfId="0" applyFont="1" applyFill="1" applyBorder="1" applyAlignment="1">
      <alignment horizontal="center" vertical="center" wrapText="1"/>
    </xf>
    <xf numFmtId="0" fontId="6" fillId="10" borderId="32" xfId="0" applyFont="1" applyFill="1" applyBorder="1" applyAlignment="1">
      <alignment horizontal="center" vertical="center" wrapText="1"/>
    </xf>
    <xf numFmtId="0" fontId="6" fillId="10" borderId="33" xfId="0" applyFont="1" applyFill="1" applyBorder="1" applyAlignment="1">
      <alignment horizontal="center" vertical="center" wrapText="1"/>
    </xf>
    <xf numFmtId="0" fontId="6" fillId="10" borderId="57" xfId="0" applyFont="1" applyFill="1" applyBorder="1" applyAlignment="1">
      <alignment horizontal="center" vertical="center" wrapText="1"/>
    </xf>
    <xf numFmtId="4" fontId="4" fillId="17" borderId="34" xfId="0" applyNumberFormat="1" applyFont="1" applyFill="1" applyBorder="1" applyAlignment="1">
      <alignment horizontal="center" vertical="center"/>
    </xf>
    <xf numFmtId="4" fontId="4" fillId="17" borderId="35" xfId="0" applyNumberFormat="1" applyFont="1" applyFill="1" applyBorder="1" applyAlignment="1">
      <alignment horizontal="center" vertical="center"/>
    </xf>
    <xf numFmtId="0" fontId="62" fillId="11" borderId="20" xfId="0" applyFont="1" applyFill="1" applyBorder="1" applyAlignment="1">
      <alignment horizontal="center" vertical="center" wrapText="1"/>
    </xf>
    <xf numFmtId="0" fontId="62" fillId="11" borderId="1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17" fillId="16" borderId="13" xfId="0" applyFont="1" applyFill="1" applyBorder="1" applyAlignment="1">
      <alignment horizontal="center" vertical="center" wrapText="1"/>
    </xf>
    <xf numFmtId="0" fontId="17" fillId="16" borderId="7" xfId="0" applyFont="1" applyFill="1" applyBorder="1" applyAlignment="1">
      <alignment horizontal="center" vertical="center" wrapText="1"/>
    </xf>
    <xf numFmtId="14" fontId="53" fillId="0" borderId="3" xfId="0" applyNumberFormat="1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/>
    </xf>
    <xf numFmtId="0" fontId="5" fillId="16" borderId="25" xfId="0" applyFont="1" applyFill="1" applyBorder="1" applyAlignment="1">
      <alignment horizontal="center"/>
    </xf>
    <xf numFmtId="0" fontId="71" fillId="9" borderId="28" xfId="0" applyFont="1" applyFill="1" applyBorder="1" applyAlignment="1">
      <alignment horizontal="center"/>
    </xf>
    <xf numFmtId="0" fontId="71" fillId="9" borderId="27" xfId="0" applyFont="1" applyFill="1" applyBorder="1" applyAlignment="1">
      <alignment horizontal="center"/>
    </xf>
    <xf numFmtId="0" fontId="15" fillId="19" borderId="28" xfId="0" quotePrefix="1" applyFont="1" applyFill="1" applyBorder="1" applyAlignment="1">
      <alignment horizontal="center" vertical="center"/>
    </xf>
    <xf numFmtId="0" fontId="15" fillId="19" borderId="26" xfId="0" quotePrefix="1" applyFont="1" applyFill="1" applyBorder="1" applyAlignment="1">
      <alignment horizontal="center" vertical="center"/>
    </xf>
    <xf numFmtId="0" fontId="15" fillId="19" borderId="27" xfId="0" quotePrefix="1" applyFont="1" applyFill="1" applyBorder="1" applyAlignment="1">
      <alignment horizontal="center" vertical="center"/>
    </xf>
    <xf numFmtId="4" fontId="56" fillId="11" borderId="0" xfId="0" applyNumberFormat="1" applyFont="1" applyFill="1" applyBorder="1" applyAlignment="1">
      <alignment horizontal="center" vertical="center" wrapText="1"/>
    </xf>
    <xf numFmtId="4" fontId="56" fillId="9" borderId="0" xfId="0" applyNumberFormat="1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9" fillId="0" borderId="0" xfId="0" applyFont="1" applyAlignment="1">
      <alignment horizontal="left" wrapText="1"/>
    </xf>
    <xf numFmtId="0" fontId="18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2" fillId="9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22" fillId="11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41" fontId="18" fillId="0" borderId="0" xfId="1" applyFont="1" applyAlignment="1">
      <alignment horizontal="center"/>
    </xf>
    <xf numFmtId="4" fontId="0" fillId="0" borderId="0" xfId="0" applyNumberFormat="1" applyAlignment="1">
      <alignment horizontal="left" wrapText="1"/>
    </xf>
    <xf numFmtId="0" fontId="22" fillId="0" borderId="0" xfId="0" applyFont="1" applyFill="1" applyAlignment="1">
      <alignment horizontal="center"/>
    </xf>
    <xf numFmtId="0" fontId="5" fillId="3" borderId="28" xfId="0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4" fontId="42" fillId="0" borderId="20" xfId="0" applyNumberFormat="1" applyFont="1" applyBorder="1" applyAlignment="1">
      <alignment horizontal="center" vertical="top"/>
    </xf>
    <xf numFmtId="4" fontId="42" fillId="0" borderId="1" xfId="0" applyNumberFormat="1" applyFont="1" applyBorder="1" applyAlignment="1">
      <alignment horizontal="center" vertical="top"/>
    </xf>
    <xf numFmtId="0" fontId="42" fillId="0" borderId="7" xfId="0" applyFont="1" applyFill="1" applyBorder="1" applyAlignment="1">
      <alignment horizontal="center" vertical="center" wrapText="1"/>
    </xf>
    <xf numFmtId="0" fontId="42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8" fillId="0" borderId="31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center" vertical="center" wrapText="1"/>
    </xf>
    <xf numFmtId="0" fontId="48" fillId="0" borderId="33" xfId="0" applyFont="1" applyFill="1" applyBorder="1" applyAlignment="1">
      <alignment horizontal="center" vertical="center" wrapText="1"/>
    </xf>
    <xf numFmtId="4" fontId="4" fillId="0" borderId="34" xfId="0" applyNumberFormat="1" applyFont="1" applyFill="1" applyBorder="1" applyAlignment="1">
      <alignment horizontal="center" vertical="center"/>
    </xf>
    <xf numFmtId="4" fontId="4" fillId="0" borderId="3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53" fillId="0" borderId="3" xfId="0" applyFont="1" applyFill="1" applyBorder="1" applyAlignment="1">
      <alignment horizontal="center" vertical="center" wrapText="1"/>
    </xf>
    <xf numFmtId="14" fontId="53" fillId="0" borderId="3" xfId="0" applyNumberFormat="1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2" fillId="0" borderId="42" xfId="0" applyFont="1" applyFill="1" applyBorder="1" applyAlignment="1">
      <alignment horizontal="center" vertical="center" wrapText="1"/>
    </xf>
    <xf numFmtId="0" fontId="42" fillId="0" borderId="4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40" xfId="0" applyFont="1" applyFill="1" applyBorder="1" applyAlignment="1">
      <alignment horizontal="center" vertical="center"/>
    </xf>
    <xf numFmtId="0" fontId="48" fillId="0" borderId="40" xfId="0" applyFont="1" applyFill="1" applyBorder="1" applyAlignment="1">
      <alignment horizontal="center" vertical="center" wrapText="1"/>
    </xf>
    <xf numFmtId="4" fontId="4" fillId="0" borderId="40" xfId="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53" fillId="0" borderId="36" xfId="0" applyFont="1" applyFill="1" applyBorder="1" applyAlignment="1">
      <alignment horizontal="center" vertical="center" wrapText="1"/>
    </xf>
    <xf numFmtId="0" fontId="53" fillId="0" borderId="39" xfId="0" applyFont="1" applyFill="1" applyBorder="1" applyAlignment="1">
      <alignment horizontal="center" vertical="center" wrapText="1"/>
    </xf>
    <xf numFmtId="14" fontId="53" fillId="0" borderId="37" xfId="0" applyNumberFormat="1" applyFont="1" applyFill="1" applyBorder="1" applyAlignment="1">
      <alignment horizontal="center" vertical="center" wrapText="1"/>
    </xf>
    <xf numFmtId="14" fontId="53" fillId="0" borderId="40" xfId="0" applyNumberFormat="1" applyFont="1" applyFill="1" applyBorder="1" applyAlignment="1">
      <alignment horizontal="center" vertical="center" wrapText="1"/>
    </xf>
    <xf numFmtId="0" fontId="49" fillId="0" borderId="37" xfId="0" applyFont="1" applyFill="1" applyBorder="1" applyAlignment="1">
      <alignment horizontal="center" vertical="center" wrapText="1"/>
    </xf>
    <xf numFmtId="0" fontId="49" fillId="0" borderId="40" xfId="0" applyFont="1" applyFill="1" applyBorder="1" applyAlignment="1">
      <alignment horizontal="center" vertical="center" wrapText="1"/>
    </xf>
    <xf numFmtId="0" fontId="53" fillId="0" borderId="37" xfId="0" applyFont="1" applyFill="1" applyBorder="1" applyAlignment="1">
      <alignment horizontal="center" vertical="center" wrapText="1"/>
    </xf>
    <xf numFmtId="0" fontId="53" fillId="0" borderId="40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72" fillId="10" borderId="4" xfId="0" applyFont="1" applyFill="1" applyBorder="1" applyAlignment="1">
      <alignment horizontal="center" vertical="center" wrapText="1"/>
    </xf>
    <xf numFmtId="0" fontId="72" fillId="10" borderId="60" xfId="0" applyFont="1" applyFill="1" applyBorder="1" applyAlignment="1">
      <alignment horizontal="center" vertical="center" wrapText="1"/>
    </xf>
    <xf numFmtId="0" fontId="72" fillId="10" borderId="17" xfId="0" applyFont="1" applyFill="1" applyBorder="1" applyAlignment="1">
      <alignment horizontal="center" vertical="center" wrapText="1"/>
    </xf>
  </cellXfs>
  <cellStyles count="4">
    <cellStyle name="Comma" xfId="2" builtinId="3"/>
    <cellStyle name="Comma [0]" xfId="1" builtinId="6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00FF00"/>
      <color rgb="FFFF000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strRef>
              <c:f>'TREND AGT'!$B$2:$B$4</c:f>
              <c:strCache>
                <c:ptCount val="3"/>
                <c:pt idx="0">
                  <c:v>AGT. KELUAR</c:v>
                </c:pt>
                <c:pt idx="1">
                  <c:v>AGT. PASIVE</c:v>
                </c:pt>
                <c:pt idx="2">
                  <c:v>AGT. AKTIVE</c:v>
                </c:pt>
              </c:strCache>
            </c:strRef>
          </c:cat>
          <c:val>
            <c:numRef>
              <c:f>'TREND AGT'!$C$2:$C$4</c:f>
              <c:numCache>
                <c:formatCode>General</c:formatCode>
                <c:ptCount val="3"/>
                <c:pt idx="0">
                  <c:v>14</c:v>
                </c:pt>
                <c:pt idx="1">
                  <c:v>48</c:v>
                </c:pt>
                <c:pt idx="2">
                  <c:v>17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7873665791776061"/>
          <c:y val="5.9609215514727337E-2"/>
          <c:w val="0.2740411198600175"/>
          <c:h val="0.4733737970253869"/>
        </c:manualLayout>
      </c:layout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6156" name="WordArt 2"/>
        <xdr:cNvSpPr>
          <a:spLocks noChangeArrowheads="1" noChangeShapeType="1" noTextEdit="1"/>
        </xdr:cNvSpPr>
      </xdr:nvSpPr>
      <xdr:spPr bwMode="auto">
        <a:xfrm>
          <a:off x="3543300" y="19050"/>
          <a:ext cx="1695450" cy="95250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CurveDown">
            <a:avLst>
              <a:gd name="adj" fmla="val 52630"/>
            </a:avLst>
          </a:prstTxWarp>
        </a:bodyPr>
        <a:lstStyle/>
        <a:p>
          <a:pPr algn="ctr" rtl="0"/>
          <a:r>
            <a:rPr lang="en-US" sz="1200" u="sng" strike="sngStrike" kern="10" cap="small" spc="0">
              <a:ln w="9525">
                <a:solidFill>
                  <a:srgbClr val="008000"/>
                </a:solidFill>
                <a:round/>
                <a:headEnd/>
                <a:tailEnd/>
              </a:ln>
              <a:solidFill>
                <a:srgbClr val="FFFF00"/>
              </a:solidFill>
              <a:latin typeface="Times New Roman"/>
              <a:cs typeface="Times New Roman"/>
            </a:rPr>
            <a:t>Dari sumber yang baik </a:t>
          </a:r>
        </a:p>
        <a:p>
          <a:pPr algn="ctr" rtl="0"/>
          <a:r>
            <a:rPr lang="en-US" sz="1200" u="sng" strike="sngStrike" kern="10" cap="small" spc="0">
              <a:ln w="9525">
                <a:solidFill>
                  <a:srgbClr val="008000"/>
                </a:solidFill>
                <a:round/>
                <a:headEnd/>
                <a:tailEnd/>
              </a:ln>
              <a:solidFill>
                <a:srgbClr val="FFFF00"/>
              </a:solidFill>
              <a:latin typeface="Times New Roman"/>
              <a:cs typeface="Times New Roman"/>
            </a:rPr>
            <a:t>untuk hasil yang lebih baik.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18</xdr:col>
      <xdr:colOff>790575</xdr:colOff>
      <xdr:row>0</xdr:row>
      <xdr:rowOff>0</xdr:rowOff>
    </xdr:to>
    <xdr:sp macro="" textlink="">
      <xdr:nvSpPr>
        <xdr:cNvPr id="6147" name="WordArt 3"/>
        <xdr:cNvSpPr>
          <a:spLocks noChangeArrowheads="1" noChangeShapeType="1" noTextEdit="1"/>
        </xdr:cNvSpPr>
      </xdr:nvSpPr>
      <xdr:spPr bwMode="auto">
        <a:xfrm>
          <a:off x="5695950" y="400050"/>
          <a:ext cx="781050" cy="828675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2699"/>
              <a:gd name="adj2" fmla="val 903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FF9900"/>
                </a:solidFill>
                <a:round/>
                <a:headEnd/>
                <a:tailEnd/>
              </a:ln>
              <a:solidFill>
                <a:srgbClr val="99CC00"/>
              </a:solidFill>
              <a:effectLst>
                <a:outerShdw dist="53882" dir="2700000" algn="ctr" rotWithShape="0">
                  <a:srgbClr val="C0C0C0">
                    <a:alpha val="80000"/>
                  </a:srgbClr>
                </a:outerShdw>
              </a:effectLst>
              <a:latin typeface="Times New Roman"/>
              <a:cs typeface="Times New Roman"/>
            </a:rPr>
            <a:t>Koperasi Syariah Naashirus Sunnah</a:t>
          </a:r>
        </a:p>
        <a:p>
          <a:pPr algn="ctr" rtl="0"/>
          <a:r>
            <a:rPr lang="en-US" sz="3600" kern="10" spc="0">
              <a:ln w="9525">
                <a:solidFill>
                  <a:srgbClr val="FF9900"/>
                </a:solidFill>
                <a:round/>
                <a:headEnd/>
                <a:tailEnd/>
              </a:ln>
              <a:solidFill>
                <a:srgbClr val="99CC00"/>
              </a:solidFill>
              <a:effectLst>
                <a:outerShdw dist="53882" dir="2700000" algn="ctr" rotWithShape="0">
                  <a:srgbClr val="C0C0C0">
                    <a:alpha val="80000"/>
                  </a:srgbClr>
                </a:outerShdw>
              </a:effectLst>
              <a:latin typeface="Times New Roman"/>
              <a:cs typeface="Times New Roman"/>
            </a:rPr>
            <a:t>Menuju Ekonomi Syariah</a:t>
          </a:r>
        </a:p>
      </xdr:txBody>
    </xdr:sp>
    <xdr:clientData/>
  </xdr:twoCellAnchor>
  <xdr:twoCellAnchor>
    <xdr:from>
      <xdr:col>4</xdr:col>
      <xdr:colOff>257175</xdr:colOff>
      <xdr:row>0</xdr:row>
      <xdr:rowOff>0</xdr:rowOff>
    </xdr:from>
    <xdr:to>
      <xdr:col>4</xdr:col>
      <xdr:colOff>866775</xdr:colOff>
      <xdr:row>0</xdr:row>
      <xdr:rowOff>0</xdr:rowOff>
    </xdr:to>
    <xdr:pic>
      <xdr:nvPicPr>
        <xdr:cNvPr id="5953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171450</xdr:colOff>
      <xdr:row>0</xdr:row>
      <xdr:rowOff>0</xdr:rowOff>
    </xdr:from>
    <xdr:to>
      <xdr:col>8</xdr:col>
      <xdr:colOff>866775</xdr:colOff>
      <xdr:row>0</xdr:row>
      <xdr:rowOff>0</xdr:rowOff>
    </xdr:to>
    <xdr:pic>
      <xdr:nvPicPr>
        <xdr:cNvPr id="5953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</xdr:colOff>
      <xdr:row>0</xdr:row>
      <xdr:rowOff>0</xdr:rowOff>
    </xdr:from>
    <xdr:to>
      <xdr:col>4</xdr:col>
      <xdr:colOff>219075</xdr:colOff>
      <xdr:row>0</xdr:row>
      <xdr:rowOff>0</xdr:rowOff>
    </xdr:to>
    <xdr:sp macro="" textlink="">
      <xdr:nvSpPr>
        <xdr:cNvPr id="6150" name="Text Box 6"/>
        <xdr:cNvSpPr txBox="1">
          <a:spLocks noChangeArrowheads="1"/>
        </xdr:cNvSpPr>
      </xdr:nvSpPr>
      <xdr:spPr bwMode="auto">
        <a:xfrm>
          <a:off x="47625" y="219075"/>
          <a:ext cx="2581275" cy="457200"/>
        </a:xfrm>
        <a:prstGeom prst="rect">
          <a:avLst/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PERDAGANGAN    PERTANIAN   PETERNAKAN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KURIER   KULINER   TRANSPORTASI   JASA  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LOUNDRY   JUAL ANGSURAN  DLL</a:t>
          </a:r>
        </a:p>
      </xdr:txBody>
    </xdr:sp>
    <xdr:clientData/>
  </xdr:twoCellAnchor>
  <xdr:twoCellAnchor>
    <xdr:from>
      <xdr:col>6</xdr:col>
      <xdr:colOff>219075</xdr:colOff>
      <xdr:row>0</xdr:row>
      <xdr:rowOff>19050</xdr:rowOff>
    </xdr:from>
    <xdr:to>
      <xdr:col>6</xdr:col>
      <xdr:colOff>1914525</xdr:colOff>
      <xdr:row>3</xdr:row>
      <xdr:rowOff>219075</xdr:rowOff>
    </xdr:to>
    <xdr:sp macro="" textlink="">
      <xdr:nvSpPr>
        <xdr:cNvPr id="2" name="WordArt 2"/>
        <xdr:cNvSpPr>
          <a:spLocks noChangeArrowheads="1" noChangeShapeType="1" noTextEdit="1"/>
        </xdr:cNvSpPr>
      </xdr:nvSpPr>
      <xdr:spPr bwMode="auto">
        <a:xfrm>
          <a:off x="3543300" y="19050"/>
          <a:ext cx="1695450" cy="95250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CurveDown">
            <a:avLst>
              <a:gd name="adj" fmla="val 52630"/>
            </a:avLst>
          </a:prstTxWarp>
        </a:bodyPr>
        <a:lstStyle/>
        <a:p>
          <a:pPr algn="ctr" rtl="0">
            <a:lnSpc>
              <a:spcPts val="1200"/>
            </a:lnSpc>
          </a:pPr>
          <a:r>
            <a:rPr lang="en-US" sz="1200" u="sng" strike="sngStrike" kern="10" cap="small" spc="0">
              <a:ln w="9525">
                <a:solidFill>
                  <a:srgbClr val="008000"/>
                </a:solidFill>
                <a:round/>
                <a:headEnd/>
                <a:tailEnd/>
              </a:ln>
              <a:solidFill>
                <a:srgbClr val="FFFF00"/>
              </a:solidFill>
              <a:latin typeface="Times New Roman"/>
              <a:cs typeface="Times New Roman"/>
            </a:rPr>
            <a:t>Dari sumber yang baik </a:t>
          </a:r>
        </a:p>
        <a:p>
          <a:pPr algn="ctr" rtl="0">
            <a:lnSpc>
              <a:spcPts val="1200"/>
            </a:lnSpc>
          </a:pPr>
          <a:r>
            <a:rPr lang="en-US" sz="1200" u="sng" strike="sngStrike" kern="10" cap="small" spc="0">
              <a:ln w="9525">
                <a:solidFill>
                  <a:srgbClr val="008000"/>
                </a:solidFill>
                <a:round/>
                <a:headEnd/>
                <a:tailEnd/>
              </a:ln>
              <a:solidFill>
                <a:srgbClr val="FFFF00"/>
              </a:solidFill>
              <a:latin typeface="Times New Roman"/>
              <a:cs typeface="Times New Roman"/>
            </a:rPr>
            <a:t>untuk hasil yang lebih baik.</a:t>
          </a:r>
        </a:p>
      </xdr:txBody>
    </xdr:sp>
    <xdr:clientData/>
  </xdr:twoCellAnchor>
  <xdr:twoCellAnchor>
    <xdr:from>
      <xdr:col>18</xdr:col>
      <xdr:colOff>180975</xdr:colOff>
      <xdr:row>1</xdr:row>
      <xdr:rowOff>219075</xdr:rowOff>
    </xdr:from>
    <xdr:to>
      <xdr:col>22</xdr:col>
      <xdr:colOff>1333501</xdr:colOff>
      <xdr:row>4</xdr:row>
      <xdr:rowOff>228600</xdr:rowOff>
    </xdr:to>
    <xdr:sp macro="" textlink="">
      <xdr:nvSpPr>
        <xdr:cNvPr id="3" name="WordArt 3"/>
        <xdr:cNvSpPr>
          <a:spLocks noChangeArrowheads="1" noChangeShapeType="1" noTextEdit="1"/>
        </xdr:cNvSpPr>
      </xdr:nvSpPr>
      <xdr:spPr bwMode="auto">
        <a:xfrm>
          <a:off x="10106025" y="400050"/>
          <a:ext cx="2981326" cy="828675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2699"/>
              <a:gd name="adj2" fmla="val 903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FF9900"/>
                </a:solidFill>
                <a:round/>
                <a:headEnd/>
                <a:tailEnd/>
              </a:ln>
              <a:solidFill>
                <a:srgbClr val="99CC00"/>
              </a:solidFill>
              <a:effectLst>
                <a:outerShdw dist="53882" dir="2700000" algn="ctr" rotWithShape="0">
                  <a:srgbClr val="C0C0C0">
                    <a:alpha val="80000"/>
                  </a:srgbClr>
                </a:outerShdw>
              </a:effectLst>
              <a:latin typeface="Times New Roman"/>
              <a:cs typeface="Times New Roman"/>
            </a:rPr>
            <a:t>Koperasi </a:t>
          </a:r>
          <a:r>
            <a:rPr lang="id-ID" sz="3600" kern="10" spc="0">
              <a:ln w="9525">
                <a:solidFill>
                  <a:srgbClr val="FF9900"/>
                </a:solidFill>
                <a:round/>
                <a:headEnd/>
                <a:tailEnd/>
              </a:ln>
              <a:solidFill>
                <a:srgbClr val="99CC00"/>
              </a:solidFill>
              <a:effectLst>
                <a:outerShdw dist="53882" dir="2700000" algn="ctr" rotWithShape="0">
                  <a:srgbClr val="C0C0C0">
                    <a:alpha val="80000"/>
                  </a:srgbClr>
                </a:outerShdw>
              </a:effectLst>
              <a:latin typeface="Times New Roman"/>
              <a:cs typeface="Times New Roman"/>
            </a:rPr>
            <a:t>Alfawaid </a:t>
          </a:r>
          <a:r>
            <a:rPr lang="en-US" sz="3600" kern="10" spc="0">
              <a:ln w="9525">
                <a:solidFill>
                  <a:srgbClr val="FF9900"/>
                </a:solidFill>
                <a:round/>
                <a:headEnd/>
                <a:tailEnd/>
              </a:ln>
              <a:solidFill>
                <a:srgbClr val="99CC00"/>
              </a:solidFill>
              <a:effectLst>
                <a:outerShdw dist="53882" dir="2700000" algn="ctr" rotWithShape="0">
                  <a:srgbClr val="C0C0C0">
                    <a:alpha val="80000"/>
                  </a:srgbClr>
                </a:outerShdw>
              </a:effectLst>
              <a:latin typeface="Times New Roman"/>
              <a:cs typeface="Times New Roman"/>
            </a:rPr>
            <a:t>Menuju Ekonomi Syariah</a:t>
          </a:r>
        </a:p>
      </xdr:txBody>
    </xdr:sp>
    <xdr:clientData/>
  </xdr:twoCellAnchor>
  <xdr:twoCellAnchor>
    <xdr:from>
      <xdr:col>5</xdr:col>
      <xdr:colOff>257175</xdr:colOff>
      <xdr:row>0</xdr:row>
      <xdr:rowOff>0</xdr:rowOff>
    </xdr:from>
    <xdr:to>
      <xdr:col>5</xdr:col>
      <xdr:colOff>866775</xdr:colOff>
      <xdr:row>3</xdr:row>
      <xdr:rowOff>133350</xdr:rowOff>
    </xdr:to>
    <xdr:pic>
      <xdr:nvPicPr>
        <xdr:cNvPr id="5953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171450</xdr:colOff>
      <xdr:row>0</xdr:row>
      <xdr:rowOff>0</xdr:rowOff>
    </xdr:from>
    <xdr:to>
      <xdr:col>10</xdr:col>
      <xdr:colOff>866775</xdr:colOff>
      <xdr:row>4</xdr:row>
      <xdr:rowOff>104775</xdr:rowOff>
    </xdr:to>
    <xdr:pic>
      <xdr:nvPicPr>
        <xdr:cNvPr id="5953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0"/>
          <a:ext cx="6953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</xdr:colOff>
      <xdr:row>1</xdr:row>
      <xdr:rowOff>38100</xdr:rowOff>
    </xdr:from>
    <xdr:to>
      <xdr:col>5</xdr:col>
      <xdr:colOff>219075</xdr:colOff>
      <xdr:row>2</xdr:row>
      <xdr:rowOff>85725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47625" y="219075"/>
          <a:ext cx="2581275" cy="457200"/>
        </a:xfrm>
        <a:prstGeom prst="rect">
          <a:avLst/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PERDAGANGAN    PERTANIAN   PETERNAKAN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KURIER   KULINER   TRANSPORTASI   JASA  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LOUNDRY   JUAL ANGSURAN  DLL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447675</xdr:colOff>
      <xdr:row>0</xdr:row>
      <xdr:rowOff>0</xdr:rowOff>
    </xdr:from>
    <xdr:to>
      <xdr:col>9</xdr:col>
      <xdr:colOff>523875</xdr:colOff>
      <xdr:row>1</xdr:row>
      <xdr:rowOff>38100</xdr:rowOff>
    </xdr:to>
    <xdr:sp macro="" textlink="">
      <xdr:nvSpPr>
        <xdr:cNvPr id="1916" name="Text Box 3"/>
        <xdr:cNvSpPr txBox="1">
          <a:spLocks noChangeArrowheads="1"/>
        </xdr:cNvSpPr>
      </xdr:nvSpPr>
      <xdr:spPr bwMode="auto">
        <a:xfrm>
          <a:off x="5086350" y="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447675</xdr:colOff>
      <xdr:row>0</xdr:row>
      <xdr:rowOff>0</xdr:rowOff>
    </xdr:from>
    <xdr:to>
      <xdr:col>9</xdr:col>
      <xdr:colOff>523875</xdr:colOff>
      <xdr:row>1</xdr:row>
      <xdr:rowOff>38100</xdr:rowOff>
    </xdr:to>
    <xdr:sp macro="" textlink="">
      <xdr:nvSpPr>
        <xdr:cNvPr id="1917" name="Text Box 5"/>
        <xdr:cNvSpPr txBox="1">
          <a:spLocks noChangeArrowheads="1"/>
        </xdr:cNvSpPr>
      </xdr:nvSpPr>
      <xdr:spPr bwMode="auto">
        <a:xfrm>
          <a:off x="5086350" y="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447675</xdr:colOff>
      <xdr:row>0</xdr:row>
      <xdr:rowOff>0</xdr:rowOff>
    </xdr:from>
    <xdr:to>
      <xdr:col>15</xdr:col>
      <xdr:colOff>523875</xdr:colOff>
      <xdr:row>1</xdr:row>
      <xdr:rowOff>38100</xdr:rowOff>
    </xdr:to>
    <xdr:sp macro="" textlink="">
      <xdr:nvSpPr>
        <xdr:cNvPr id="56493" name="Text Box 2"/>
        <xdr:cNvSpPr txBox="1">
          <a:spLocks noChangeArrowheads="1"/>
        </xdr:cNvSpPr>
      </xdr:nvSpPr>
      <xdr:spPr bwMode="auto">
        <a:xfrm>
          <a:off x="10115550" y="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447675</xdr:colOff>
      <xdr:row>0</xdr:row>
      <xdr:rowOff>0</xdr:rowOff>
    </xdr:from>
    <xdr:to>
      <xdr:col>15</xdr:col>
      <xdr:colOff>523875</xdr:colOff>
      <xdr:row>1</xdr:row>
      <xdr:rowOff>38100</xdr:rowOff>
    </xdr:to>
    <xdr:sp macro="" textlink="">
      <xdr:nvSpPr>
        <xdr:cNvPr id="56494" name="Text Box 4"/>
        <xdr:cNvSpPr txBox="1">
          <a:spLocks noChangeArrowheads="1"/>
        </xdr:cNvSpPr>
      </xdr:nvSpPr>
      <xdr:spPr bwMode="auto">
        <a:xfrm>
          <a:off x="10115550" y="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447675</xdr:colOff>
      <xdr:row>0</xdr:row>
      <xdr:rowOff>0</xdr:rowOff>
    </xdr:from>
    <xdr:to>
      <xdr:col>15</xdr:col>
      <xdr:colOff>523875</xdr:colOff>
      <xdr:row>1</xdr:row>
      <xdr:rowOff>38100</xdr:rowOff>
    </xdr:to>
    <xdr:sp macro="" textlink="">
      <xdr:nvSpPr>
        <xdr:cNvPr id="56495" name="Text Box 6"/>
        <xdr:cNvSpPr txBox="1">
          <a:spLocks noChangeArrowheads="1"/>
        </xdr:cNvSpPr>
      </xdr:nvSpPr>
      <xdr:spPr bwMode="auto">
        <a:xfrm>
          <a:off x="10115550" y="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447675</xdr:colOff>
      <xdr:row>0</xdr:row>
      <xdr:rowOff>0</xdr:rowOff>
    </xdr:from>
    <xdr:to>
      <xdr:col>15</xdr:col>
      <xdr:colOff>523875</xdr:colOff>
      <xdr:row>1</xdr:row>
      <xdr:rowOff>38100</xdr:rowOff>
    </xdr:to>
    <xdr:sp macro="" textlink="">
      <xdr:nvSpPr>
        <xdr:cNvPr id="56496" name="Text Box 7"/>
        <xdr:cNvSpPr txBox="1">
          <a:spLocks noChangeArrowheads="1"/>
        </xdr:cNvSpPr>
      </xdr:nvSpPr>
      <xdr:spPr bwMode="auto">
        <a:xfrm>
          <a:off x="10115550" y="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19050</xdr:colOff>
      <xdr:row>0</xdr:row>
      <xdr:rowOff>0</xdr:rowOff>
    </xdr:from>
    <xdr:to>
      <xdr:col>16</xdr:col>
      <xdr:colOff>371475</xdr:colOff>
      <xdr:row>0</xdr:row>
      <xdr:rowOff>0</xdr:rowOff>
    </xdr:to>
    <xdr:sp macro="" textlink="">
      <xdr:nvSpPr>
        <xdr:cNvPr id="56497" name="Line 8"/>
        <xdr:cNvSpPr>
          <a:spLocks noChangeShapeType="1"/>
        </xdr:cNvSpPr>
      </xdr:nvSpPr>
      <xdr:spPr bwMode="auto">
        <a:xfrm>
          <a:off x="19050" y="0"/>
          <a:ext cx="11163300" cy="0"/>
        </a:xfrm>
        <a:prstGeom prst="line">
          <a:avLst/>
        </a:prstGeom>
        <a:noFill/>
        <a:ln w="9525">
          <a:solidFill>
            <a:srgbClr val="000080"/>
          </a:solidFill>
          <a:prstDash val="dash"/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19050</xdr:rowOff>
    </xdr:from>
    <xdr:to>
      <xdr:col>4</xdr:col>
      <xdr:colOff>1914525</xdr:colOff>
      <xdr:row>3</xdr:row>
      <xdr:rowOff>219075</xdr:rowOff>
    </xdr:to>
    <xdr:sp macro="" textlink="">
      <xdr:nvSpPr>
        <xdr:cNvPr id="2" name="WordArt 2"/>
        <xdr:cNvSpPr>
          <a:spLocks noChangeArrowheads="1" noChangeShapeType="1" noTextEdit="1"/>
        </xdr:cNvSpPr>
      </xdr:nvSpPr>
      <xdr:spPr bwMode="auto">
        <a:xfrm>
          <a:off x="4429125" y="19050"/>
          <a:ext cx="1695450" cy="95250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CurveDown">
            <a:avLst>
              <a:gd name="adj" fmla="val 52630"/>
            </a:avLst>
          </a:prstTxWarp>
        </a:bodyPr>
        <a:lstStyle/>
        <a:p>
          <a:pPr algn="ctr" rtl="0">
            <a:lnSpc>
              <a:spcPts val="1200"/>
            </a:lnSpc>
          </a:pPr>
          <a:r>
            <a:rPr lang="en-US" sz="1200" u="sng" strike="sngStrike" kern="10" cap="small" spc="0">
              <a:ln w="9525">
                <a:solidFill>
                  <a:srgbClr val="008000"/>
                </a:solidFill>
                <a:round/>
                <a:headEnd/>
                <a:tailEnd/>
              </a:ln>
              <a:solidFill>
                <a:srgbClr val="FFFF00"/>
              </a:solidFill>
              <a:latin typeface="Times New Roman"/>
              <a:cs typeface="Times New Roman"/>
            </a:rPr>
            <a:t>Dari sumber yang baik </a:t>
          </a:r>
        </a:p>
        <a:p>
          <a:pPr algn="ctr" rtl="0">
            <a:lnSpc>
              <a:spcPts val="1200"/>
            </a:lnSpc>
          </a:pPr>
          <a:r>
            <a:rPr lang="en-US" sz="1200" u="sng" strike="sngStrike" kern="10" cap="small" spc="0">
              <a:ln w="9525">
                <a:solidFill>
                  <a:srgbClr val="008000"/>
                </a:solidFill>
                <a:round/>
                <a:headEnd/>
                <a:tailEnd/>
              </a:ln>
              <a:solidFill>
                <a:srgbClr val="FFFF00"/>
              </a:solidFill>
              <a:latin typeface="Times New Roman"/>
              <a:cs typeface="Times New Roman"/>
            </a:rPr>
            <a:t>untuk hasil yang lebih baik.</a:t>
          </a:r>
        </a:p>
      </xdr:txBody>
    </xdr:sp>
    <xdr:clientData/>
  </xdr:twoCellAnchor>
  <xdr:twoCellAnchor>
    <xdr:from>
      <xdr:col>10</xdr:col>
      <xdr:colOff>180975</xdr:colOff>
      <xdr:row>1</xdr:row>
      <xdr:rowOff>219075</xdr:rowOff>
    </xdr:from>
    <xdr:to>
      <xdr:col>12</xdr:col>
      <xdr:colOff>1333501</xdr:colOff>
      <xdr:row>4</xdr:row>
      <xdr:rowOff>228600</xdr:rowOff>
    </xdr:to>
    <xdr:sp macro="" textlink="">
      <xdr:nvSpPr>
        <xdr:cNvPr id="3" name="WordArt 3"/>
        <xdr:cNvSpPr>
          <a:spLocks noChangeArrowheads="1" noChangeShapeType="1" noTextEdit="1"/>
        </xdr:cNvSpPr>
      </xdr:nvSpPr>
      <xdr:spPr bwMode="auto">
        <a:xfrm>
          <a:off x="11020425" y="400050"/>
          <a:ext cx="2981326" cy="828675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2699"/>
              <a:gd name="adj2" fmla="val 903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FF9900"/>
                </a:solidFill>
                <a:round/>
                <a:headEnd/>
                <a:tailEnd/>
              </a:ln>
              <a:solidFill>
                <a:srgbClr val="99CC00"/>
              </a:solidFill>
              <a:effectLst>
                <a:outerShdw dist="53882" dir="2700000" algn="ctr" rotWithShape="0">
                  <a:srgbClr val="C0C0C0">
                    <a:alpha val="80000"/>
                  </a:srgbClr>
                </a:outerShdw>
              </a:effectLst>
              <a:latin typeface="Times New Roman"/>
              <a:cs typeface="Times New Roman"/>
            </a:rPr>
            <a:t>Koperasi Syariah Naashirus Sunnah</a:t>
          </a:r>
        </a:p>
        <a:p>
          <a:pPr algn="ctr" rtl="0"/>
          <a:r>
            <a:rPr lang="en-US" sz="3600" kern="10" spc="0">
              <a:ln w="9525">
                <a:solidFill>
                  <a:srgbClr val="FF9900"/>
                </a:solidFill>
                <a:round/>
                <a:headEnd/>
                <a:tailEnd/>
              </a:ln>
              <a:solidFill>
                <a:srgbClr val="99CC00"/>
              </a:solidFill>
              <a:effectLst>
                <a:outerShdw dist="53882" dir="2700000" algn="ctr" rotWithShape="0">
                  <a:srgbClr val="C0C0C0">
                    <a:alpha val="80000"/>
                  </a:srgbClr>
                </a:outerShdw>
              </a:effectLst>
              <a:latin typeface="Times New Roman"/>
              <a:cs typeface="Times New Roman"/>
            </a:rPr>
            <a:t>Menuju Ekonomi Syariah</a:t>
          </a:r>
        </a:p>
      </xdr:txBody>
    </xdr:sp>
    <xdr:clientData/>
  </xdr:twoCellAnchor>
  <xdr:twoCellAnchor>
    <xdr:from>
      <xdr:col>3</xdr:col>
      <xdr:colOff>257175</xdr:colOff>
      <xdr:row>0</xdr:row>
      <xdr:rowOff>0</xdr:rowOff>
    </xdr:from>
    <xdr:to>
      <xdr:col>3</xdr:col>
      <xdr:colOff>866775</xdr:colOff>
      <xdr:row>3</xdr:row>
      <xdr:rowOff>133350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171450</xdr:colOff>
      <xdr:row>0</xdr:row>
      <xdr:rowOff>0</xdr:rowOff>
    </xdr:from>
    <xdr:to>
      <xdr:col>7</xdr:col>
      <xdr:colOff>866775</xdr:colOff>
      <xdr:row>4</xdr:row>
      <xdr:rowOff>104775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0"/>
          <a:ext cx="695325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</xdr:row>
      <xdr:rowOff>38100</xdr:rowOff>
    </xdr:from>
    <xdr:to>
      <xdr:col>3</xdr:col>
      <xdr:colOff>219075</xdr:colOff>
      <xdr:row>2</xdr:row>
      <xdr:rowOff>85725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47625" y="219075"/>
          <a:ext cx="3467100" cy="457200"/>
        </a:xfrm>
        <a:prstGeom prst="rect">
          <a:avLst/>
        </a:prstGeom>
        <a:solidFill>
          <a:srgbClr val="FFCC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PERDAGANGAN    PERTANIAN   PETERNAKAN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KURIER   KULINER   TRANSPORTASI   JASA  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LOUNDRY   JUAL ANGSURAN  DLL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0</xdr:rowOff>
    </xdr:from>
    <xdr:to>
      <xdr:col>7</xdr:col>
      <xdr:colOff>866775</xdr:colOff>
      <xdr:row>4</xdr:row>
      <xdr:rowOff>104775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90487</xdr:rowOff>
    </xdr:from>
    <xdr:to>
      <xdr:col>13</xdr:col>
      <xdr:colOff>152400</xdr:colOff>
      <xdr:row>23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152401</xdr:colOff>
      <xdr:row>16</xdr:row>
      <xdr:rowOff>57150</xdr:rowOff>
    </xdr:from>
    <xdr:to>
      <xdr:col>9</xdr:col>
      <xdr:colOff>200025</xdr:colOff>
      <xdr:row>19</xdr:row>
      <xdr:rowOff>133349</xdr:rowOff>
    </xdr:to>
    <xdr:sp macro="" textlink="">
      <xdr:nvSpPr>
        <xdr:cNvPr id="4" name="TextBox 3"/>
        <xdr:cNvSpPr txBox="1"/>
      </xdr:nvSpPr>
      <xdr:spPr>
        <a:xfrm>
          <a:off x="5648326" y="2647950"/>
          <a:ext cx="657224" cy="561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2000" b="1"/>
            <a:t>60%</a:t>
          </a:r>
        </a:p>
      </xdr:txBody>
    </xdr:sp>
    <xdr:clientData/>
  </xdr:twoCellAnchor>
  <xdr:twoCellAnchor>
    <xdr:from>
      <xdr:col>7</xdr:col>
      <xdr:colOff>123825</xdr:colOff>
      <xdr:row>9</xdr:row>
      <xdr:rowOff>85725</xdr:rowOff>
    </xdr:from>
    <xdr:to>
      <xdr:col>8</xdr:col>
      <xdr:colOff>314324</xdr:colOff>
      <xdr:row>12</xdr:row>
      <xdr:rowOff>161924</xdr:rowOff>
    </xdr:to>
    <xdr:sp macro="" textlink="">
      <xdr:nvSpPr>
        <xdr:cNvPr id="5" name="TextBox 4"/>
        <xdr:cNvSpPr txBox="1"/>
      </xdr:nvSpPr>
      <xdr:spPr>
        <a:xfrm>
          <a:off x="5010150" y="1543050"/>
          <a:ext cx="800099" cy="561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2000" b="1"/>
            <a:t>22%</a:t>
          </a:r>
        </a:p>
      </xdr:txBody>
    </xdr:sp>
    <xdr:clientData/>
  </xdr:twoCellAnchor>
  <xdr:twoCellAnchor>
    <xdr:from>
      <xdr:col>8</xdr:col>
      <xdr:colOff>495300</xdr:colOff>
      <xdr:row>9</xdr:row>
      <xdr:rowOff>28575</xdr:rowOff>
    </xdr:from>
    <xdr:to>
      <xdr:col>9</xdr:col>
      <xdr:colOff>542924</xdr:colOff>
      <xdr:row>12</xdr:row>
      <xdr:rowOff>104774</xdr:rowOff>
    </xdr:to>
    <xdr:sp macro="" textlink="">
      <xdr:nvSpPr>
        <xdr:cNvPr id="6" name="TextBox 5"/>
        <xdr:cNvSpPr txBox="1"/>
      </xdr:nvSpPr>
      <xdr:spPr>
        <a:xfrm>
          <a:off x="5991225" y="1485900"/>
          <a:ext cx="657224" cy="561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2000" b="1"/>
            <a:t>18%</a:t>
          </a:r>
        </a:p>
      </xdr:txBody>
    </xdr:sp>
    <xdr:clientData/>
  </xdr:twoCellAnchor>
  <xdr:twoCellAnchor>
    <xdr:from>
      <xdr:col>12</xdr:col>
      <xdr:colOff>171450</xdr:colOff>
      <xdr:row>7</xdr:row>
      <xdr:rowOff>142875</xdr:rowOff>
    </xdr:from>
    <xdr:to>
      <xdr:col>13</xdr:col>
      <xdr:colOff>219074</xdr:colOff>
      <xdr:row>10</xdr:row>
      <xdr:rowOff>9525</xdr:rowOff>
    </xdr:to>
    <xdr:sp macro="" textlink="">
      <xdr:nvSpPr>
        <xdr:cNvPr id="7" name="TextBox 6"/>
        <xdr:cNvSpPr txBox="1"/>
      </xdr:nvSpPr>
      <xdr:spPr>
        <a:xfrm>
          <a:off x="8105775" y="1276350"/>
          <a:ext cx="657224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400" b="1"/>
            <a:t>14</a:t>
          </a:r>
        </a:p>
      </xdr:txBody>
    </xdr:sp>
    <xdr:clientData/>
  </xdr:twoCellAnchor>
  <xdr:twoCellAnchor>
    <xdr:from>
      <xdr:col>12</xdr:col>
      <xdr:colOff>190500</xdr:colOff>
      <xdr:row>13</xdr:row>
      <xdr:rowOff>19050</xdr:rowOff>
    </xdr:from>
    <xdr:to>
      <xdr:col>13</xdr:col>
      <xdr:colOff>238124</xdr:colOff>
      <xdr:row>15</xdr:row>
      <xdr:rowOff>47625</xdr:rowOff>
    </xdr:to>
    <xdr:sp macro="" textlink="">
      <xdr:nvSpPr>
        <xdr:cNvPr id="8" name="TextBox 7"/>
        <xdr:cNvSpPr txBox="1"/>
      </xdr:nvSpPr>
      <xdr:spPr>
        <a:xfrm>
          <a:off x="8124825" y="2124075"/>
          <a:ext cx="657224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400" b="1"/>
            <a:t>17</a:t>
          </a:r>
        </a:p>
      </xdr:txBody>
    </xdr:sp>
    <xdr:clientData/>
  </xdr:twoCellAnchor>
  <xdr:twoCellAnchor>
    <xdr:from>
      <xdr:col>12</xdr:col>
      <xdr:colOff>180975</xdr:colOff>
      <xdr:row>10</xdr:row>
      <xdr:rowOff>76200</xdr:rowOff>
    </xdr:from>
    <xdr:to>
      <xdr:col>13</xdr:col>
      <xdr:colOff>228599</xdr:colOff>
      <xdr:row>12</xdr:row>
      <xdr:rowOff>104775</xdr:rowOff>
    </xdr:to>
    <xdr:sp macro="" textlink="">
      <xdr:nvSpPr>
        <xdr:cNvPr id="9" name="TextBox 8"/>
        <xdr:cNvSpPr txBox="1"/>
      </xdr:nvSpPr>
      <xdr:spPr>
        <a:xfrm>
          <a:off x="8115300" y="1695450"/>
          <a:ext cx="657224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d-ID" sz="1400" b="1"/>
            <a:t>48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NASHIRUS%20SUNNAH/KOPERASI%20SYARIAH%20NAASHIRUS%20SUNNAH/PEMBUKUAN%20KOPERASI%202012/DATA%20BEST%20ANGGOTA%20KOPERASI%20SYARIAH%20NS%2020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ternal/%23@PEMBUKUAN%202017/%23KOPSNS%202017/KREDITUR%20JCA%20%20KOPERASI%20S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ternal/%23@PEMBUKUAN%202017/%23KOPSNS%202017/KREDITUR%20JCA%20%20KOPERASI%20SNS%20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ANGGT"/>
      <sheetName val="0001"/>
      <sheetName val="0002"/>
      <sheetName val="0003"/>
      <sheetName val="0004"/>
      <sheetName val="0005"/>
      <sheetName val="0006"/>
      <sheetName val="0007"/>
      <sheetName val="0008"/>
      <sheetName val="0009"/>
      <sheetName val="0010"/>
      <sheetName val="0011"/>
      <sheetName val="0012"/>
      <sheetName val="0013"/>
      <sheetName val="0014"/>
      <sheetName val="0015"/>
      <sheetName val="0016"/>
      <sheetName val="0017"/>
      <sheetName val="0018"/>
      <sheetName val="0019"/>
      <sheetName val="0020"/>
      <sheetName val="0021"/>
      <sheetName val="0022"/>
      <sheetName val="0023"/>
      <sheetName val="0024"/>
      <sheetName val="0025"/>
      <sheetName val="0026"/>
      <sheetName val="0027"/>
      <sheetName val="0028"/>
      <sheetName val="0029"/>
      <sheetName val="0030"/>
      <sheetName val="0031"/>
      <sheetName val="0032"/>
      <sheetName val="0033"/>
      <sheetName val="0034"/>
      <sheetName val="0035"/>
      <sheetName val="0036"/>
      <sheetName val="0037"/>
      <sheetName val="0038"/>
      <sheetName val="0039"/>
      <sheetName val="0040"/>
      <sheetName val="MMBUDI"/>
      <sheetName val="MMSPRLN"/>
      <sheetName val="TOTAL"/>
      <sheetName val="004"/>
      <sheetName val="004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">
          <cell r="C5">
            <v>25424250</v>
          </cell>
        </row>
      </sheetData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KREDITUR"/>
      <sheetName val="BUKU KAS"/>
      <sheetName val="PEND. ADM"/>
      <sheetName val="SHODAQOH"/>
      <sheetName val="BIAYA"/>
      <sheetName val="BANK"/>
      <sheetName val="RIBHUN BANK"/>
      <sheetName val="UTANG"/>
      <sheetName val="SEMBAKO"/>
      <sheetName val="0001"/>
      <sheetName val="0002"/>
      <sheetName val="0003"/>
      <sheetName val="0004"/>
      <sheetName val="0005"/>
      <sheetName val="0006"/>
      <sheetName val="0007"/>
      <sheetName val="0008"/>
      <sheetName val="0009"/>
      <sheetName val="0010"/>
      <sheetName val="0011"/>
      <sheetName val="0012"/>
      <sheetName val="0013"/>
      <sheetName val="0014"/>
      <sheetName val="0015"/>
      <sheetName val="0016"/>
      <sheetName val="0017"/>
      <sheetName val="0018"/>
      <sheetName val="0019"/>
      <sheetName val="0020"/>
      <sheetName val="0021"/>
      <sheetName val="0022"/>
      <sheetName val="0023"/>
      <sheetName val="0024"/>
      <sheetName val="0025"/>
      <sheetName val="0026"/>
      <sheetName val="0027"/>
      <sheetName val="0028"/>
      <sheetName val="0029"/>
      <sheetName val="0030"/>
      <sheetName val="0031"/>
      <sheetName val="0032"/>
      <sheetName val="0033"/>
      <sheetName val="0034"/>
      <sheetName val="0035"/>
      <sheetName val="KANTIN"/>
      <sheetName val="0036"/>
      <sheetName val="PULSA"/>
      <sheetName val="0037"/>
      <sheetName val="0038"/>
      <sheetName val="0039"/>
      <sheetName val="0040"/>
      <sheetName val="0041"/>
      <sheetName val="L-R"/>
      <sheetName val="SHU KOP"/>
      <sheetName val="TOTAL"/>
      <sheetName val="NERAC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5">
          <cell r="H35">
            <v>111250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REDITUR"/>
      <sheetName val="BUKU KAS"/>
      <sheetName val="PEND. ADM"/>
      <sheetName val="FEE RENTAL"/>
      <sheetName val="DANA HIBAH"/>
      <sheetName val="BIAYA"/>
      <sheetName val="INVENTARIS"/>
      <sheetName val="BANK"/>
      <sheetName val="NISBAH BSM"/>
      <sheetName val="UTANG"/>
      <sheetName val="SEMBAKO"/>
      <sheetName val="SHU 2012"/>
      <sheetName val="0001"/>
      <sheetName val="0002"/>
      <sheetName val="0003"/>
      <sheetName val="0004"/>
      <sheetName val="0005"/>
      <sheetName val="0006"/>
      <sheetName val="0007"/>
      <sheetName val="0008"/>
      <sheetName val="0009"/>
      <sheetName val="0010"/>
      <sheetName val="0011"/>
      <sheetName val="0012"/>
      <sheetName val="0013"/>
      <sheetName val="0014"/>
      <sheetName val="0015"/>
      <sheetName val="0016"/>
      <sheetName val="0017"/>
      <sheetName val="0018"/>
      <sheetName val="0019"/>
      <sheetName val="0020"/>
      <sheetName val="0021"/>
      <sheetName val="0022"/>
      <sheetName val="0023"/>
      <sheetName val="0024"/>
      <sheetName val="0025"/>
      <sheetName val="0026"/>
      <sheetName val="0027"/>
      <sheetName val="0028"/>
      <sheetName val="0029"/>
      <sheetName val="0030"/>
      <sheetName val="0031"/>
      <sheetName val="0032"/>
      <sheetName val="0033"/>
      <sheetName val="0034"/>
      <sheetName val="0035"/>
      <sheetName val="KANTIN"/>
      <sheetName val="0036"/>
      <sheetName val="PULSA"/>
      <sheetName val="0037"/>
      <sheetName val="0038"/>
      <sheetName val="0039"/>
      <sheetName val="0040"/>
      <sheetName val="0041"/>
      <sheetName val="0042"/>
      <sheetName val="0043"/>
      <sheetName val="0044"/>
      <sheetName val="0045"/>
      <sheetName val="0046"/>
      <sheetName val="0047"/>
      <sheetName val="0048"/>
      <sheetName val="0049"/>
      <sheetName val="0050"/>
      <sheetName val="0051"/>
      <sheetName val="0052"/>
      <sheetName val="0053"/>
      <sheetName val="0054"/>
      <sheetName val="0055"/>
      <sheetName val="0056"/>
      <sheetName val="0057"/>
      <sheetName val="0058"/>
      <sheetName val="0059"/>
      <sheetName val="0060"/>
      <sheetName val="0061"/>
      <sheetName val="0062"/>
      <sheetName val="0063"/>
      <sheetName val="0064"/>
      <sheetName val="0065"/>
      <sheetName val="KAOS"/>
      <sheetName val="0066"/>
      <sheetName val="0067"/>
      <sheetName val="0068"/>
      <sheetName val="0069"/>
      <sheetName val="0070"/>
      <sheetName val="L-R"/>
      <sheetName val="SHU KOP"/>
      <sheetName val="TOTAL"/>
      <sheetName val="NERACA"/>
      <sheetName val="BAGI HASILSM &amp; MUDHORIB"/>
      <sheetName val="CALON PEMBEL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8">
          <cell r="E8">
            <v>1384719.9993333332</v>
          </cell>
        </row>
      </sheetData>
      <sheetData sheetId="9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4.bin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openxmlformats.org/officeDocument/2006/relationships/oleObject" Target="../embeddings/oleObject25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2.bin"/><Relationship Id="rId2" Type="http://schemas.openxmlformats.org/officeDocument/2006/relationships/oleObject" Target="../embeddings/oleObject81.bin"/><Relationship Id="rId1" Type="http://schemas.openxmlformats.org/officeDocument/2006/relationships/vmlDrawing" Target="../drawings/vmlDrawing37.v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7.bin"/><Relationship Id="rId5" Type="http://schemas.openxmlformats.org/officeDocument/2006/relationships/comments" Target="../comments3.xml"/><Relationship Id="rId4" Type="http://schemas.openxmlformats.org/officeDocument/2006/relationships/oleObject" Target="../embeddings/oleObject83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8.bin"/><Relationship Id="rId4" Type="http://schemas.openxmlformats.org/officeDocument/2006/relationships/comments" Target="../comments4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6.bin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openxmlformats.org/officeDocument/2006/relationships/oleObject" Target="../embeddings/oleObject27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8.bin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5" Type="http://schemas.openxmlformats.org/officeDocument/2006/relationships/comments" Target="../comments2.xml"/><Relationship Id="rId4" Type="http://schemas.openxmlformats.org/officeDocument/2006/relationships/oleObject" Target="../embeddings/oleObject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0.bin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Relationship Id="rId4" Type="http://schemas.openxmlformats.org/officeDocument/2006/relationships/oleObject" Target="../embeddings/oleObject3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2.bin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Relationship Id="rId4" Type="http://schemas.openxmlformats.org/officeDocument/2006/relationships/oleObject" Target="../embeddings/oleObject3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4.bin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openxmlformats.org/officeDocument/2006/relationships/oleObject" Target="../embeddings/oleObject3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6.bin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Relationship Id="rId4" Type="http://schemas.openxmlformats.org/officeDocument/2006/relationships/oleObject" Target="../embeddings/oleObject3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8.bin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Relationship Id="rId4" Type="http://schemas.openxmlformats.org/officeDocument/2006/relationships/oleObject" Target="../embeddings/oleObject3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0.bin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Relationship Id="rId4" Type="http://schemas.openxmlformats.org/officeDocument/2006/relationships/oleObject" Target="../embeddings/oleObject4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2.bin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Relationship Id="rId4" Type="http://schemas.openxmlformats.org/officeDocument/2006/relationships/oleObject" Target="../embeddings/oleObject4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oleObject" Target="../embeddings/oleObject4.bin"/><Relationship Id="rId4" Type="http://schemas.openxmlformats.org/officeDocument/2006/relationships/oleObject" Target="../embeddings/oleObject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openxmlformats.org/officeDocument/2006/relationships/oleObject" Target="../embeddings/oleObject7.bin"/><Relationship Id="rId4" Type="http://schemas.openxmlformats.org/officeDocument/2006/relationships/oleObject" Target="../embeddings/oleObject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openxmlformats.org/officeDocument/2006/relationships/oleObject" Target="../embeddings/oleObject10.bin"/><Relationship Id="rId4" Type="http://schemas.openxmlformats.org/officeDocument/2006/relationships/oleObject" Target="../embeddings/oleObject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4.bin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38.bin"/><Relationship Id="rId4" Type="http://schemas.openxmlformats.org/officeDocument/2006/relationships/oleObject" Target="../embeddings/oleObject45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6.bin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39.bin"/><Relationship Id="rId4" Type="http://schemas.openxmlformats.org/officeDocument/2006/relationships/oleObject" Target="../embeddings/oleObject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5" Type="http://schemas.openxmlformats.org/officeDocument/2006/relationships/oleObject" Target="../embeddings/oleObject13.bin"/><Relationship Id="rId4" Type="http://schemas.openxmlformats.org/officeDocument/2006/relationships/oleObject" Target="../embeddings/oleObject1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8.bin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42.bin"/><Relationship Id="rId4" Type="http://schemas.openxmlformats.org/officeDocument/2006/relationships/oleObject" Target="../embeddings/oleObject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0.bin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44.bin"/><Relationship Id="rId5" Type="http://schemas.openxmlformats.org/officeDocument/2006/relationships/oleObject" Target="../embeddings/oleObject52.bin"/><Relationship Id="rId4" Type="http://schemas.openxmlformats.org/officeDocument/2006/relationships/oleObject" Target="../embeddings/oleObject51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3.bin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5.bin"/><Relationship Id="rId4" Type="http://schemas.openxmlformats.org/officeDocument/2006/relationships/oleObject" Target="../embeddings/oleObject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5.bin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6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6.bin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7.bin"/><Relationship Id="rId5" Type="http://schemas.openxmlformats.org/officeDocument/2006/relationships/oleObject" Target="../embeddings/oleObject58.bin"/><Relationship Id="rId4" Type="http://schemas.openxmlformats.org/officeDocument/2006/relationships/oleObject" Target="../embeddings/oleObject57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oleObject" Target="../embeddings/oleObject62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8.bin"/><Relationship Id="rId6" Type="http://schemas.openxmlformats.org/officeDocument/2006/relationships/oleObject" Target="../embeddings/oleObject61.bin"/><Relationship Id="rId5" Type="http://schemas.openxmlformats.org/officeDocument/2006/relationships/oleObject" Target="../embeddings/oleObject60.bin"/><Relationship Id="rId4" Type="http://schemas.openxmlformats.org/officeDocument/2006/relationships/oleObject" Target="../embeddings/oleObject59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3.bin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9.bin"/><Relationship Id="rId4" Type="http://schemas.openxmlformats.org/officeDocument/2006/relationships/oleObject" Target="../embeddings/oleObject64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5.bin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50.bin"/><Relationship Id="rId4" Type="http://schemas.openxmlformats.org/officeDocument/2006/relationships/oleObject" Target="../embeddings/oleObject6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oleObject" Target="../embeddings/oleObject17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6.bin"/><Relationship Id="rId5" Type="http://schemas.openxmlformats.org/officeDocument/2006/relationships/oleObject" Target="../embeddings/oleObject15.bin"/><Relationship Id="rId4" Type="http://schemas.openxmlformats.org/officeDocument/2006/relationships/oleObject" Target="../embeddings/oleObject14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7.bin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1.bin"/><Relationship Id="rId4" Type="http://schemas.openxmlformats.org/officeDocument/2006/relationships/oleObject" Target="../embeddings/oleObject6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8.bin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oleObject" Target="../embeddings/oleObject1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0.bin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openxmlformats.org/officeDocument/2006/relationships/oleObject" Target="../embeddings/oleObject21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9.bin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5.bin"/><Relationship Id="rId4" Type="http://schemas.openxmlformats.org/officeDocument/2006/relationships/oleObject" Target="../embeddings/oleObject70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1.bin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6.bin"/><Relationship Id="rId4" Type="http://schemas.openxmlformats.org/officeDocument/2006/relationships/oleObject" Target="../embeddings/oleObject7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3.bin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7.bin"/><Relationship Id="rId4" Type="http://schemas.openxmlformats.org/officeDocument/2006/relationships/oleObject" Target="../embeddings/oleObject7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5.bin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8.bin"/><Relationship Id="rId4" Type="http://schemas.openxmlformats.org/officeDocument/2006/relationships/oleObject" Target="../embeddings/oleObject76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7.bin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9.bin"/><Relationship Id="rId4" Type="http://schemas.openxmlformats.org/officeDocument/2006/relationships/oleObject" Target="../embeddings/oleObject78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9.bin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60.bin"/><Relationship Id="rId4" Type="http://schemas.openxmlformats.org/officeDocument/2006/relationships/oleObject" Target="../embeddings/oleObject80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2.bin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oleObject" Target="../embeddings/oleObject2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AM196"/>
  <sheetViews>
    <sheetView tabSelected="1" zoomScale="110" zoomScaleNormal="110" workbookViewId="0">
      <pane ySplit="3840" topLeftCell="A79" activePane="bottomLeft"/>
      <selection activeCell="E1" sqref="E1:H1048576"/>
      <selection pane="bottomLeft" activeCell="B95" sqref="B95"/>
    </sheetView>
  </sheetViews>
  <sheetFormatPr defaultRowHeight="12.75"/>
  <cols>
    <col min="1" max="1" width="6.5703125" style="2" customWidth="1"/>
    <col min="2" max="2" width="6.42578125" style="2" customWidth="1"/>
    <col min="3" max="3" width="17" style="2" customWidth="1"/>
    <col min="4" max="4" width="11.85546875" style="505" customWidth="1"/>
    <col min="5" max="5" width="28.42578125" style="55" customWidth="1"/>
    <col min="6" max="6" width="16.28515625" style="2" customWidth="1"/>
    <col min="7" max="7" width="30.85546875" style="55" customWidth="1"/>
    <col min="8" max="8" width="13.7109375" style="93" customWidth="1"/>
    <col min="9" max="11" width="11.42578125" style="93" customWidth="1"/>
    <col min="12" max="12" width="14.28515625" style="93" customWidth="1"/>
    <col min="13" max="13" width="13.7109375" style="93" customWidth="1"/>
    <col min="14" max="14" width="11.85546875" style="93" customWidth="1"/>
    <col min="15" max="15" width="11.7109375" style="93" customWidth="1"/>
    <col min="16" max="18" width="13.7109375" style="93" customWidth="1"/>
    <col min="19" max="19" width="11.42578125" style="93" customWidth="1"/>
    <col min="20" max="20" width="14.7109375" style="93" customWidth="1"/>
    <col min="21" max="21" width="13.5703125" style="93" customWidth="1"/>
    <col min="22" max="22" width="15.42578125" style="101" customWidth="1"/>
    <col min="23" max="23" width="13.42578125" style="2" customWidth="1"/>
    <col min="24" max="24" width="11.5703125" style="2" customWidth="1"/>
    <col min="25" max="25" width="11" style="2" customWidth="1"/>
    <col min="26" max="26" width="19.85546875" style="152" customWidth="1"/>
    <col min="27" max="27" width="16.42578125" style="152" customWidth="1"/>
    <col min="28" max="28" width="21.5703125" style="152" customWidth="1"/>
    <col min="29" max="29" width="15.7109375" style="3" customWidth="1"/>
    <col min="30" max="32" width="13.7109375" style="3" customWidth="1"/>
    <col min="33" max="33" width="8.5703125" style="2" customWidth="1"/>
    <col min="34" max="34" width="27.7109375" style="2" customWidth="1"/>
    <col min="35" max="35" width="15.140625" style="2" customWidth="1"/>
    <col min="36" max="36" width="21.140625" style="2" customWidth="1"/>
    <col min="37" max="37" width="16.140625" style="2" customWidth="1"/>
    <col min="38" max="38" width="9.140625" style="2"/>
    <col min="39" max="39" width="20" style="2" customWidth="1"/>
    <col min="40" max="16384" width="9.140625" style="2"/>
  </cols>
  <sheetData>
    <row r="1" spans="1:36" ht="14.25">
      <c r="B1" s="1" t="s">
        <v>761</v>
      </c>
      <c r="C1" s="1"/>
      <c r="D1" s="584"/>
      <c r="E1" s="297"/>
    </row>
    <row r="2" spans="1:36" ht="32.25" customHeight="1">
      <c r="B2" s="4"/>
      <c r="C2" s="4"/>
      <c r="D2" s="585"/>
      <c r="E2" s="297"/>
    </row>
    <row r="4" spans="1:36" ht="19.5">
      <c r="B4" s="5" t="s">
        <v>4</v>
      </c>
      <c r="C4" s="5"/>
      <c r="D4" s="586"/>
      <c r="E4" s="94"/>
      <c r="F4" s="5"/>
      <c r="G4" s="94"/>
      <c r="H4" s="94"/>
      <c r="I4" s="94"/>
      <c r="J4" s="94"/>
      <c r="K4" s="94"/>
      <c r="L4" s="94"/>
      <c r="M4" s="94"/>
      <c r="N4" s="94"/>
      <c r="O4" s="94"/>
      <c r="P4" s="608">
        <v>943932.855416773</v>
      </c>
      <c r="Q4" s="94"/>
      <c r="R4" s="94"/>
      <c r="S4" s="94"/>
      <c r="T4" s="94"/>
      <c r="U4" s="94"/>
      <c r="V4" s="125"/>
      <c r="W4" s="5"/>
      <c r="X4" s="5"/>
      <c r="Y4" s="5"/>
      <c r="Z4" s="480"/>
      <c r="AA4" s="480"/>
      <c r="AB4" s="480"/>
      <c r="AC4" s="6"/>
      <c r="AD4" s="6"/>
      <c r="AE4" s="6"/>
      <c r="AF4" s="6"/>
    </row>
    <row r="5" spans="1:36" ht="20.100000000000001" customHeight="1" thickBot="1">
      <c r="B5" s="7"/>
      <c r="C5" s="7"/>
      <c r="D5" s="587"/>
      <c r="E5" s="298"/>
    </row>
    <row r="6" spans="1:36" ht="20.25" customHeight="1" thickBot="1">
      <c r="A6" s="640" t="s">
        <v>759</v>
      </c>
      <c r="B6" s="640" t="s">
        <v>9</v>
      </c>
      <c r="C6" s="640" t="s">
        <v>1068</v>
      </c>
      <c r="D6" s="666" t="s">
        <v>382</v>
      </c>
      <c r="E6" s="667" t="s">
        <v>2</v>
      </c>
      <c r="F6" s="640" t="s">
        <v>8</v>
      </c>
      <c r="G6" s="293"/>
      <c r="H6" s="651" t="s">
        <v>765</v>
      </c>
      <c r="I6" s="652"/>
      <c r="J6" s="652"/>
      <c r="K6" s="652"/>
      <c r="L6" s="652"/>
      <c r="M6" s="652"/>
      <c r="N6" s="652"/>
      <c r="O6" s="652"/>
      <c r="P6" s="652"/>
      <c r="Q6" s="652"/>
      <c r="R6" s="652"/>
      <c r="S6" s="652"/>
      <c r="T6" s="652"/>
      <c r="U6" s="652"/>
      <c r="V6" s="653"/>
      <c r="W6" s="649" t="s">
        <v>12</v>
      </c>
      <c r="X6" s="645" t="s">
        <v>756</v>
      </c>
      <c r="Y6" s="646"/>
      <c r="Z6" s="481"/>
      <c r="AA6" s="481"/>
      <c r="AB6" s="481"/>
      <c r="AC6" s="677" t="s">
        <v>383</v>
      </c>
      <c r="AD6" s="678"/>
      <c r="AE6" s="104"/>
      <c r="AF6" s="330"/>
    </row>
    <row r="7" spans="1:36" ht="16.5" customHeight="1" thickBot="1">
      <c r="A7" s="640"/>
      <c r="B7" s="640"/>
      <c r="C7" s="640"/>
      <c r="D7" s="666"/>
      <c r="E7" s="667"/>
      <c r="F7" s="640"/>
      <c r="G7" s="294" t="s">
        <v>11</v>
      </c>
      <c r="H7" s="647" t="s">
        <v>809</v>
      </c>
      <c r="I7" s="648"/>
      <c r="J7" s="662" t="s">
        <v>970</v>
      </c>
      <c r="K7" s="654" t="s">
        <v>755</v>
      </c>
      <c r="L7" s="655"/>
      <c r="M7" s="656"/>
      <c r="N7" s="656"/>
      <c r="O7" s="656"/>
      <c r="P7" s="656"/>
      <c r="Q7" s="656"/>
      <c r="R7" s="656"/>
      <c r="S7" s="657"/>
      <c r="T7" s="660" t="s">
        <v>810</v>
      </c>
      <c r="U7" s="641" t="s">
        <v>754</v>
      </c>
      <c r="V7" s="658" t="s">
        <v>1</v>
      </c>
      <c r="W7" s="650"/>
      <c r="X7" s="643" t="s">
        <v>760</v>
      </c>
      <c r="Y7" s="643" t="s">
        <v>807</v>
      </c>
      <c r="Z7" s="613">
        <v>13767290.556888536</v>
      </c>
      <c r="AA7" s="481"/>
      <c r="AB7" s="481"/>
      <c r="AC7" s="677"/>
      <c r="AD7" s="678"/>
      <c r="AE7" s="104"/>
      <c r="AF7" s="330"/>
      <c r="AG7" s="2" t="s">
        <v>587</v>
      </c>
      <c r="AI7" s="106">
        <v>6000000</v>
      </c>
    </row>
    <row r="8" spans="1:36" ht="25.5" customHeight="1" thickBot="1">
      <c r="A8" s="640"/>
      <c r="B8" s="640"/>
      <c r="C8" s="640"/>
      <c r="D8" s="666"/>
      <c r="E8" s="667"/>
      <c r="F8" s="640"/>
      <c r="G8" s="295"/>
      <c r="H8" s="393" t="s">
        <v>757</v>
      </c>
      <c r="I8" s="393" t="s">
        <v>758</v>
      </c>
      <c r="J8" s="663"/>
      <c r="K8" s="548" t="s">
        <v>7</v>
      </c>
      <c r="L8" s="387" t="s">
        <v>385</v>
      </c>
      <c r="M8" s="387" t="s">
        <v>498</v>
      </c>
      <c r="N8" s="387" t="s">
        <v>591</v>
      </c>
      <c r="O8" s="387" t="s">
        <v>686</v>
      </c>
      <c r="P8" s="387" t="s">
        <v>726</v>
      </c>
      <c r="Q8" s="387" t="s">
        <v>1014</v>
      </c>
      <c r="R8" s="387" t="s">
        <v>1103</v>
      </c>
      <c r="S8" s="549" t="s">
        <v>547</v>
      </c>
      <c r="T8" s="661"/>
      <c r="U8" s="642"/>
      <c r="V8" s="659"/>
      <c r="W8" s="650"/>
      <c r="X8" s="644"/>
      <c r="Y8" s="644"/>
      <c r="Z8" s="672" t="s">
        <v>1096</v>
      </c>
      <c r="AA8" s="673"/>
      <c r="AB8" s="674"/>
      <c r="AC8" s="9" t="s">
        <v>731</v>
      </c>
      <c r="AD8" s="9"/>
      <c r="AE8" s="9" t="s">
        <v>685</v>
      </c>
      <c r="AF8" s="9"/>
    </row>
    <row r="9" spans="1:36" ht="16.5" thickBot="1">
      <c r="A9" s="470">
        <v>1</v>
      </c>
      <c r="B9" s="12">
        <v>2</v>
      </c>
      <c r="C9" s="12"/>
      <c r="D9" s="588">
        <v>3</v>
      </c>
      <c r="E9" s="296">
        <v>4</v>
      </c>
      <c r="F9" s="13">
        <v>3</v>
      </c>
      <c r="G9" s="296">
        <v>4</v>
      </c>
      <c r="H9" s="126">
        <v>5</v>
      </c>
      <c r="I9" s="127">
        <v>6</v>
      </c>
      <c r="J9" s="127">
        <v>7</v>
      </c>
      <c r="K9" s="126">
        <v>8</v>
      </c>
      <c r="L9" s="126">
        <v>9</v>
      </c>
      <c r="M9" s="126">
        <v>10</v>
      </c>
      <c r="N9" s="126">
        <v>11</v>
      </c>
      <c r="O9" s="126">
        <v>12</v>
      </c>
      <c r="P9" s="126">
        <v>13</v>
      </c>
      <c r="Q9" s="126">
        <v>14</v>
      </c>
      <c r="R9" s="126">
        <v>15</v>
      </c>
      <c r="S9" s="126">
        <v>16</v>
      </c>
      <c r="T9" s="126">
        <v>17</v>
      </c>
      <c r="U9" s="128">
        <v>18</v>
      </c>
      <c r="V9" s="128">
        <v>19</v>
      </c>
      <c r="W9" s="13"/>
      <c r="X9" s="386">
        <v>20</v>
      </c>
      <c r="Y9" s="386">
        <v>21</v>
      </c>
      <c r="Z9" s="609">
        <f>AM27</f>
        <v>4860000</v>
      </c>
      <c r="AA9" s="625">
        <f>AA180</f>
        <v>513687.99614051916</v>
      </c>
      <c r="AB9" s="625">
        <f>AA9+Z180</f>
        <v>4860000</v>
      </c>
      <c r="AC9" s="107">
        <f>AI26</f>
        <v>0</v>
      </c>
      <c r="AD9" s="107">
        <f>AC181</f>
        <v>2700000</v>
      </c>
      <c r="AE9" s="107">
        <f>AE180</f>
        <v>2700000.0000000005</v>
      </c>
      <c r="AF9" s="107"/>
      <c r="AG9" s="108" t="s">
        <v>578</v>
      </c>
      <c r="AH9" s="109"/>
      <c r="AI9" s="110">
        <v>6000000</v>
      </c>
    </row>
    <row r="10" spans="1:36" ht="13.5" customHeight="1" thickBot="1">
      <c r="A10" s="538">
        <v>1</v>
      </c>
      <c r="B10" s="545" t="s">
        <v>63</v>
      </c>
      <c r="C10" s="580">
        <v>2018020001</v>
      </c>
      <c r="D10" s="589">
        <v>40637</v>
      </c>
      <c r="E10" s="539" t="s">
        <v>15</v>
      </c>
      <c r="F10" s="540" t="s">
        <v>17</v>
      </c>
      <c r="G10" s="541" t="s">
        <v>20</v>
      </c>
      <c r="H10" s="541">
        <f>'0002'!L30</f>
        <v>500000</v>
      </c>
      <c r="I10" s="541">
        <f>'0002'!M30</f>
        <v>642500</v>
      </c>
      <c r="J10" s="541"/>
      <c r="K10" s="541">
        <f>'0002'!N30</f>
        <v>0</v>
      </c>
      <c r="L10" s="542">
        <v>19051.991278801215</v>
      </c>
      <c r="M10" s="542">
        <v>25262.268078736506</v>
      </c>
      <c r="N10" s="542">
        <v>13281.659934932484</v>
      </c>
      <c r="O10" s="542">
        <v>10608.161832610496</v>
      </c>
      <c r="P10" s="542">
        <v>13851.411734802423</v>
      </c>
      <c r="Q10" s="542">
        <v>87897.406642571746</v>
      </c>
      <c r="R10" s="542">
        <v>51537.333753566847</v>
      </c>
      <c r="S10" s="541">
        <v>25000</v>
      </c>
      <c r="T10" s="541">
        <f t="shared" ref="T10:T15" si="0">H10+I10</f>
        <v>1142500</v>
      </c>
      <c r="U10" s="541">
        <f>SUM(K10:S10)</f>
        <v>246490.23325602169</v>
      </c>
      <c r="V10" s="542">
        <f>(H10+I10+K10+L10+M10+N10+O10+Q10+P10+R10)-S10</f>
        <v>1338990.233256022</v>
      </c>
      <c r="W10" s="543"/>
      <c r="X10" s="490">
        <v>100000</v>
      </c>
      <c r="Y10" s="492">
        <v>100000</v>
      </c>
      <c r="Z10" s="112">
        <f>(T10/$T$180)*(12/12)*$Z$9*100%</f>
        <v>48704.442787597036</v>
      </c>
      <c r="AA10" s="112">
        <f>(T10/$W$65)*(12/12)*$AA$9*100%</f>
        <v>6917.5923572671281</v>
      </c>
      <c r="AB10" s="112">
        <v>51537.333753566847</v>
      </c>
      <c r="AC10" s="112">
        <f t="shared" ref="AC10:AC52" si="1">(V10/$V$181)*(12/12)*$AC$9*100%</f>
        <v>0</v>
      </c>
      <c r="AD10" s="112">
        <f t="shared" ref="AD10:AD43" si="2">(V10/$W$181)*(12/12)*$AD$9*100%</f>
        <v>54814.926020054001</v>
      </c>
      <c r="AE10" s="112">
        <v>10608.161832610496</v>
      </c>
      <c r="AF10" s="112">
        <f t="shared" ref="AF10:AF39" si="3">AC10+AD10</f>
        <v>54814.926020054001</v>
      </c>
      <c r="AG10" s="495" t="s">
        <v>580</v>
      </c>
      <c r="AH10" s="497"/>
      <c r="AI10" s="498">
        <f>AI6*20%</f>
        <v>0</v>
      </c>
      <c r="AJ10" s="2" t="s">
        <v>594</v>
      </c>
    </row>
    <row r="11" spans="1:36" ht="13.5" customHeight="1" thickBot="1">
      <c r="A11" s="538">
        <v>6</v>
      </c>
      <c r="B11" s="538" t="s">
        <v>70</v>
      </c>
      <c r="C11" s="580">
        <v>2018020002</v>
      </c>
      <c r="D11" s="589">
        <v>40672</v>
      </c>
      <c r="E11" s="539" t="s">
        <v>35</v>
      </c>
      <c r="F11" s="540" t="s">
        <v>36</v>
      </c>
      <c r="G11" s="541" t="s">
        <v>113</v>
      </c>
      <c r="H11" s="541">
        <f>'0009'!$L$29</f>
        <v>500000</v>
      </c>
      <c r="I11" s="541">
        <f>'0009'!$M$29</f>
        <v>722500</v>
      </c>
      <c r="J11" s="541"/>
      <c r="K11" s="541">
        <f>'0009'!$N$29</f>
        <v>0</v>
      </c>
      <c r="L11" s="542">
        <v>17464.325338901119</v>
      </c>
      <c r="M11" s="542">
        <v>23157.079072175129</v>
      </c>
      <c r="N11" s="542">
        <v>13348.609805447668</v>
      </c>
      <c r="O11" s="542">
        <v>10661.635198483193</v>
      </c>
      <c r="P11" s="542">
        <v>13921.233596425189</v>
      </c>
      <c r="Q11" s="542">
        <v>100736.35368025076</v>
      </c>
      <c r="R11" s="542">
        <v>59065.258908582233</v>
      </c>
      <c r="S11" s="541">
        <v>0</v>
      </c>
      <c r="T11" s="541">
        <f t="shared" si="0"/>
        <v>1222500</v>
      </c>
      <c r="U11" s="541">
        <f t="shared" ref="U11:U20" si="4">SUM(K11:S11)</f>
        <v>238354.49560026531</v>
      </c>
      <c r="V11" s="542">
        <f t="shared" ref="V11:V74" si="5">(H11+I11+K11+L11+M11+N11+O11+Q11+P11+R11)-S11</f>
        <v>1460854.4956002652</v>
      </c>
      <c r="W11" s="543"/>
      <c r="X11" s="499">
        <v>100000</v>
      </c>
      <c r="Y11" s="500">
        <v>100000</v>
      </c>
      <c r="Z11" s="112">
        <f t="shared" ref="Z11:Z65" si="6">(T11/$T$180)*(12/12)*$Z$9*100%</f>
        <v>52114.819525459403</v>
      </c>
      <c r="AA11" s="112">
        <f t="shared" ref="AA11:AA65" si="7">(T11/$W$65)*(12/12)*$AA$9*100%</f>
        <v>7401.9751919116534</v>
      </c>
      <c r="AB11" s="112">
        <v>59065.258908582233</v>
      </c>
      <c r="AC11" s="112">
        <f t="shared" si="1"/>
        <v>0</v>
      </c>
      <c r="AD11" s="112">
        <f t="shared" si="2"/>
        <v>59803.745474430776</v>
      </c>
      <c r="AE11" s="112">
        <v>10661.635198483193</v>
      </c>
      <c r="AF11" s="112">
        <f t="shared" si="3"/>
        <v>59803.745474430776</v>
      </c>
      <c r="AG11" s="374"/>
      <c r="AH11" s="376"/>
      <c r="AI11" s="378"/>
    </row>
    <row r="12" spans="1:36" ht="13.5" customHeight="1" thickBot="1">
      <c r="A12" s="474">
        <v>8</v>
      </c>
      <c r="B12" s="486" t="s">
        <v>74</v>
      </c>
      <c r="C12" s="580">
        <v>2018020003</v>
      </c>
      <c r="D12" s="561">
        <v>40663</v>
      </c>
      <c r="E12" s="300" t="s">
        <v>1070</v>
      </c>
      <c r="F12" s="165" t="s">
        <v>46</v>
      </c>
      <c r="G12" s="150" t="s">
        <v>120</v>
      </c>
      <c r="H12" s="150">
        <f>'0013'!$L$51</f>
        <v>500000</v>
      </c>
      <c r="I12" s="150">
        <f>'0013'!$M$51</f>
        <v>1700000</v>
      </c>
      <c r="J12" s="150"/>
      <c r="K12" s="150">
        <f>'0013'!$N$51</f>
        <v>672200</v>
      </c>
      <c r="L12" s="151">
        <v>57155.973836403653</v>
      </c>
      <c r="M12" s="151">
        <v>100166.33897171782</v>
      </c>
      <c r="N12" s="151">
        <v>60300.558215604913</v>
      </c>
      <c r="O12" s="151">
        <v>94751.950493612792</v>
      </c>
      <c r="P12" s="151">
        <v>123720.61245597288</v>
      </c>
      <c r="Q12" s="151">
        <v>177276.23025102951</v>
      </c>
      <c r="R12" s="151">
        <v>103943.27425578932</v>
      </c>
      <c r="S12" s="150">
        <v>200000</v>
      </c>
      <c r="T12" s="150">
        <f t="shared" si="0"/>
        <v>2200000</v>
      </c>
      <c r="U12" s="150">
        <f t="shared" si="4"/>
        <v>1589514.9384801311</v>
      </c>
      <c r="V12" s="542">
        <f t="shared" si="5"/>
        <v>3389514.9384801313</v>
      </c>
      <c r="W12" s="389"/>
      <c r="X12" s="490">
        <v>100000</v>
      </c>
      <c r="Y12" s="492">
        <v>100000</v>
      </c>
      <c r="Z12" s="112">
        <f t="shared" si="6"/>
        <v>93785.360291215286</v>
      </c>
      <c r="AA12" s="112">
        <f t="shared" si="7"/>
        <v>13320.527952724447</v>
      </c>
      <c r="AB12" s="112">
        <v>103943.27425578932</v>
      </c>
      <c r="AC12" s="112">
        <f t="shared" si="1"/>
        <v>0</v>
      </c>
      <c r="AD12" s="112">
        <f t="shared" si="2"/>
        <v>138758.30157838881</v>
      </c>
      <c r="AE12" s="112">
        <v>94751.950493612792</v>
      </c>
      <c r="AF12" s="112">
        <f t="shared" si="3"/>
        <v>138758.30157838881</v>
      </c>
      <c r="AG12" s="455" t="s">
        <v>581</v>
      </c>
      <c r="AH12" s="456"/>
      <c r="AI12" s="457">
        <f>AI20*15%</f>
        <v>0</v>
      </c>
    </row>
    <row r="13" spans="1:36" s="152" customFormat="1" ht="13.5" customHeight="1" thickBot="1">
      <c r="A13" s="474">
        <v>2</v>
      </c>
      <c r="B13" s="474" t="s">
        <v>64</v>
      </c>
      <c r="C13" s="580">
        <v>2018020004</v>
      </c>
      <c r="D13" s="561">
        <v>40637</v>
      </c>
      <c r="E13" s="300" t="s">
        <v>13</v>
      </c>
      <c r="F13" s="165" t="s">
        <v>18</v>
      </c>
      <c r="G13" s="150" t="s">
        <v>21</v>
      </c>
      <c r="H13" s="150">
        <f>'0003'!L50</f>
        <v>500000</v>
      </c>
      <c r="I13" s="150">
        <f>'0003'!M50</f>
        <v>1710000</v>
      </c>
      <c r="J13" s="150"/>
      <c r="K13" s="150">
        <f>'0003'!N50</f>
        <v>470000</v>
      </c>
      <c r="L13" s="151">
        <v>53583.72547162843</v>
      </c>
      <c r="M13" s="151">
        <v>71050.128971446436</v>
      </c>
      <c r="N13" s="151">
        <v>88537.850034189134</v>
      </c>
      <c r="O13" s="151">
        <v>86087.405503083181</v>
      </c>
      <c r="P13" s="151">
        <v>112407.04257908765</v>
      </c>
      <c r="Q13" s="151">
        <v>138265.58348269714</v>
      </c>
      <c r="R13" s="151">
        <v>81069.963207857974</v>
      </c>
      <c r="S13" s="150">
        <v>71000</v>
      </c>
      <c r="T13" s="150">
        <f t="shared" si="0"/>
        <v>2210000</v>
      </c>
      <c r="U13" s="150">
        <f t="shared" si="4"/>
        <v>1172001.6992499901</v>
      </c>
      <c r="V13" s="542">
        <f t="shared" si="5"/>
        <v>3240001.6992499894</v>
      </c>
      <c r="W13" s="389"/>
      <c r="X13" s="490">
        <v>100000</v>
      </c>
      <c r="Y13" s="492">
        <v>100000</v>
      </c>
      <c r="Z13" s="112">
        <f t="shared" si="6"/>
        <v>94211.657383448095</v>
      </c>
      <c r="AA13" s="112">
        <f t="shared" si="7"/>
        <v>13381.075807055013</v>
      </c>
      <c r="AB13" s="112">
        <v>81069.963207857974</v>
      </c>
      <c r="AC13" s="112">
        <f t="shared" si="1"/>
        <v>0</v>
      </c>
      <c r="AD13" s="112">
        <f t="shared" si="2"/>
        <v>132637.60185715952</v>
      </c>
      <c r="AE13" s="112">
        <v>86087.405503083181</v>
      </c>
      <c r="AF13" s="112">
        <f t="shared" si="3"/>
        <v>132637.60185715952</v>
      </c>
      <c r="AG13" s="495" t="s">
        <v>581</v>
      </c>
      <c r="AH13" s="497"/>
      <c r="AI13" s="498">
        <f>AI11*15%</f>
        <v>0</v>
      </c>
      <c r="AJ13" s="2" t="s">
        <v>595</v>
      </c>
    </row>
    <row r="14" spans="1:36" ht="13.5" customHeight="1" thickBot="1">
      <c r="A14" s="538">
        <v>3</v>
      </c>
      <c r="B14" s="545" t="s">
        <v>65</v>
      </c>
      <c r="C14" s="580">
        <v>2018020005</v>
      </c>
      <c r="D14" s="589">
        <v>40619</v>
      </c>
      <c r="E14" s="539" t="s">
        <v>22</v>
      </c>
      <c r="F14" s="540" t="s">
        <v>23</v>
      </c>
      <c r="G14" s="541" t="s">
        <v>24</v>
      </c>
      <c r="H14" s="541">
        <f>'0004'!L50</f>
        <v>500000</v>
      </c>
      <c r="I14" s="541">
        <f>'0004'!M50</f>
        <v>865000</v>
      </c>
      <c r="J14" s="541"/>
      <c r="K14" s="541">
        <f>'0004'!N50</f>
        <v>10000</v>
      </c>
      <c r="L14" s="542">
        <v>52392.976016703353</v>
      </c>
      <c r="M14" s="542">
        <v>81661.004584279537</v>
      </c>
      <c r="N14" s="542">
        <v>42923.77906651052</v>
      </c>
      <c r="O14" s="542">
        <v>34283.545658863986</v>
      </c>
      <c r="P14" s="542">
        <v>47210.59004034294</v>
      </c>
      <c r="Q14" s="542">
        <v>81477.933123732233</v>
      </c>
      <c r="R14" s="542">
        <v>47773.371176059147</v>
      </c>
      <c r="S14" s="541">
        <f>81000+100000</f>
        <v>181000</v>
      </c>
      <c r="T14" s="541">
        <f t="shared" si="0"/>
        <v>1365000</v>
      </c>
      <c r="U14" s="541">
        <f t="shared" si="4"/>
        <v>578723.19966649171</v>
      </c>
      <c r="V14" s="542">
        <f t="shared" si="5"/>
        <v>1581723.1996664917</v>
      </c>
      <c r="W14" s="543"/>
      <c r="X14" s="490">
        <v>100000</v>
      </c>
      <c r="Y14" s="492">
        <v>100000</v>
      </c>
      <c r="Z14" s="112">
        <f t="shared" si="6"/>
        <v>58189.55308977676</v>
      </c>
      <c r="AA14" s="112">
        <f t="shared" si="7"/>
        <v>8264.7821161222146</v>
      </c>
      <c r="AB14" s="112">
        <v>47773.371176059147</v>
      </c>
      <c r="AC14" s="112">
        <f t="shared" si="1"/>
        <v>0</v>
      </c>
      <c r="AD14" s="112">
        <f t="shared" si="2"/>
        <v>64751.8092518782</v>
      </c>
      <c r="AE14" s="112">
        <v>34283.545658863986</v>
      </c>
      <c r="AF14" s="112">
        <f t="shared" si="3"/>
        <v>64751.8092518782</v>
      </c>
      <c r="AG14" s="572" t="s">
        <v>582</v>
      </c>
      <c r="AH14" s="574"/>
      <c r="AI14" s="576">
        <f>AI13*10%</f>
        <v>0</v>
      </c>
      <c r="AJ14" s="2" t="s">
        <v>596</v>
      </c>
    </row>
    <row r="15" spans="1:36" ht="13.5" customHeight="1" thickBot="1">
      <c r="A15" s="518">
        <v>30</v>
      </c>
      <c r="B15" s="519" t="s">
        <v>161</v>
      </c>
      <c r="C15" s="580">
        <v>2018020006</v>
      </c>
      <c r="D15" s="526">
        <v>41783</v>
      </c>
      <c r="E15" s="520" t="str">
        <f>'0051'!D1</f>
        <v>HERI MAULANA</v>
      </c>
      <c r="F15" s="521" t="s">
        <v>537</v>
      </c>
      <c r="G15" s="522" t="str">
        <f>'0051'!D3</f>
        <v>Jl. Ir.H.Juanda Singaraja</v>
      </c>
      <c r="H15" s="522">
        <f>'0051'!L50</f>
        <v>500000</v>
      </c>
      <c r="I15" s="522">
        <f>'0051'!$M$50</f>
        <v>540000</v>
      </c>
      <c r="J15" s="522"/>
      <c r="K15" s="522">
        <f>'0051'!$N$50</f>
        <v>0</v>
      </c>
      <c r="L15" s="522">
        <v>0</v>
      </c>
      <c r="M15" s="523">
        <v>0</v>
      </c>
      <c r="N15" s="523">
        <v>4306.6026609702812</v>
      </c>
      <c r="O15" s="523">
        <v>15733.727350550966</v>
      </c>
      <c r="P15" s="523">
        <v>20544.024412000639</v>
      </c>
      <c r="Q15" s="523">
        <v>69132.79174134857</v>
      </c>
      <c r="R15" s="523">
        <v>40534.981603928987</v>
      </c>
      <c r="S15" s="522">
        <v>0</v>
      </c>
      <c r="T15" s="522">
        <f t="shared" si="0"/>
        <v>1040000</v>
      </c>
      <c r="U15" s="522">
        <f t="shared" si="4"/>
        <v>150252.12776879943</v>
      </c>
      <c r="V15" s="542">
        <f t="shared" si="5"/>
        <v>1190252.1277687994</v>
      </c>
      <c r="W15" s="524"/>
      <c r="X15" s="490">
        <v>100000</v>
      </c>
      <c r="Y15" s="492">
        <v>100000</v>
      </c>
      <c r="Z15" s="112">
        <f t="shared" si="6"/>
        <v>44334.897592210873</v>
      </c>
      <c r="AA15" s="112">
        <f t="shared" si="7"/>
        <v>6296.9768503788291</v>
      </c>
      <c r="AB15" s="112">
        <v>40534.981603928987</v>
      </c>
      <c r="AC15" s="112">
        <f t="shared" si="1"/>
        <v>0</v>
      </c>
      <c r="AD15" s="112">
        <f t="shared" si="2"/>
        <v>48725.958344151477</v>
      </c>
      <c r="AE15" s="112">
        <v>15733.727350550966</v>
      </c>
      <c r="AF15" s="112">
        <f t="shared" si="3"/>
        <v>48725.958344151477</v>
      </c>
      <c r="AI15" s="3"/>
    </row>
    <row r="16" spans="1:36" s="152" customFormat="1" ht="13.5" customHeight="1" thickBot="1">
      <c r="A16" s="538">
        <v>4</v>
      </c>
      <c r="B16" s="545" t="s">
        <v>67</v>
      </c>
      <c r="C16" s="580">
        <v>2018020007</v>
      </c>
      <c r="D16" s="589">
        <v>40661</v>
      </c>
      <c r="E16" s="539" t="s">
        <v>28</v>
      </c>
      <c r="F16" s="540" t="s">
        <v>29</v>
      </c>
      <c r="G16" s="541" t="s">
        <v>24</v>
      </c>
      <c r="H16" s="541">
        <f>'0006'!$L$50</f>
        <v>500000</v>
      </c>
      <c r="I16" s="541">
        <f>'0006'!M50</f>
        <v>1920000</v>
      </c>
      <c r="J16" s="541">
        <f>'0006'!P50</f>
        <v>5000000</v>
      </c>
      <c r="K16" s="541">
        <f>'0006'!$N$50</f>
        <v>358599.99999993015</v>
      </c>
      <c r="L16" s="542">
        <v>414380.81031392649</v>
      </c>
      <c r="M16" s="542">
        <v>549454.330712519</v>
      </c>
      <c r="N16" s="542">
        <v>316726.10538380366</v>
      </c>
      <c r="O16" s="542">
        <v>286384.23369219934</v>
      </c>
      <c r="P16" s="542">
        <v>373940.9332003335</v>
      </c>
      <c r="Q16" s="542">
        <v>574789.78276378382</v>
      </c>
      <c r="R16" s="542">
        <v>365972.97676690167</v>
      </c>
      <c r="S16" s="541">
        <f>500000+1100000+1000000</f>
        <v>2600000</v>
      </c>
      <c r="T16" s="541">
        <f>H16+I16+J16</f>
        <v>7420000</v>
      </c>
      <c r="U16" s="541">
        <f t="shared" si="4"/>
        <v>5840249.172833398</v>
      </c>
      <c r="V16" s="542">
        <f>(H16+I16+J16+K16+L16+M16+N16+O16+Q16+P16+R16)-S16</f>
        <v>8060249.1728333961</v>
      </c>
      <c r="W16" s="543"/>
      <c r="X16" s="490">
        <v>100000</v>
      </c>
      <c r="Y16" s="492">
        <v>100000</v>
      </c>
      <c r="Z16" s="112">
        <f t="shared" si="6"/>
        <v>316312.4424367352</v>
      </c>
      <c r="AA16" s="112">
        <f t="shared" si="7"/>
        <v>44926.507913279733</v>
      </c>
      <c r="AB16" s="112">
        <v>365972.97676690167</v>
      </c>
      <c r="AC16" s="112">
        <f t="shared" si="1"/>
        <v>0</v>
      </c>
      <c r="AD16" s="112">
        <f t="shared" si="2"/>
        <v>329966.53085189854</v>
      </c>
      <c r="AE16" s="112">
        <v>286384.23369219934</v>
      </c>
      <c r="AF16" s="112">
        <f t="shared" si="3"/>
        <v>329966.53085189854</v>
      </c>
      <c r="AG16" s="578" t="s">
        <v>584</v>
      </c>
      <c r="AH16" s="579"/>
      <c r="AI16" s="576">
        <f>AI14*5%</f>
        <v>0</v>
      </c>
      <c r="AJ16" s="2" t="s">
        <v>595</v>
      </c>
    </row>
    <row r="17" spans="1:39" ht="13.5" customHeight="1" thickBot="1">
      <c r="A17" s="474">
        <v>5</v>
      </c>
      <c r="B17" s="486" t="s">
        <v>69</v>
      </c>
      <c r="C17" s="580">
        <v>2018020008</v>
      </c>
      <c r="D17" s="561">
        <v>40621</v>
      </c>
      <c r="E17" s="475" t="s">
        <v>32</v>
      </c>
      <c r="F17" s="476" t="s">
        <v>33</v>
      </c>
      <c r="G17" s="477" t="s">
        <v>34</v>
      </c>
      <c r="H17" s="477">
        <f>'0008'!$L$50</f>
        <v>500000</v>
      </c>
      <c r="I17" s="477">
        <f>'0008'!$M$50</f>
        <v>895000</v>
      </c>
      <c r="J17" s="477"/>
      <c r="K17" s="477">
        <f>'0008'!$N$50</f>
        <v>110000</v>
      </c>
      <c r="L17" s="478">
        <v>61918.971656103953</v>
      </c>
      <c r="M17" s="478">
        <v>94292.138623647799</v>
      </c>
      <c r="N17" s="478">
        <v>54353.528883555759</v>
      </c>
      <c r="O17" s="478">
        <v>43412.572931017407</v>
      </c>
      <c r="P17" s="478">
        <v>56685.166725693147</v>
      </c>
      <c r="Q17" s="478">
        <v>137771.77782740176</v>
      </c>
      <c r="R17" s="478">
        <v>80780.427624972755</v>
      </c>
      <c r="S17" s="477">
        <v>200000</v>
      </c>
      <c r="T17" s="477">
        <f>H17+I17</f>
        <v>1395000</v>
      </c>
      <c r="U17" s="477">
        <f t="shared" si="4"/>
        <v>839214.58427239256</v>
      </c>
      <c r="V17" s="542">
        <f t="shared" si="5"/>
        <v>1834214.5842723926</v>
      </c>
      <c r="W17" s="479"/>
      <c r="X17" s="490">
        <v>100000</v>
      </c>
      <c r="Y17" s="492">
        <v>100000</v>
      </c>
      <c r="Z17" s="112">
        <f t="shared" si="6"/>
        <v>59468.444366475152</v>
      </c>
      <c r="AA17" s="112">
        <f t="shared" si="7"/>
        <v>8446.4256791139105</v>
      </c>
      <c r="AB17" s="112">
        <v>80780.427624972755</v>
      </c>
      <c r="AC17" s="471">
        <f t="shared" si="1"/>
        <v>0</v>
      </c>
      <c r="AD17" s="471">
        <f t="shared" si="2"/>
        <v>75088.177825843086</v>
      </c>
      <c r="AE17" s="471">
        <v>43412.572931017407</v>
      </c>
      <c r="AF17" s="471">
        <f t="shared" si="3"/>
        <v>75088.177825843086</v>
      </c>
      <c r="AG17" s="573" t="s">
        <v>586</v>
      </c>
      <c r="AH17" s="575"/>
      <c r="AI17" s="577">
        <f>SUM(AI9:AI10)</f>
        <v>6000000</v>
      </c>
      <c r="AJ17" s="472"/>
    </row>
    <row r="18" spans="1:39" ht="13.5" customHeight="1" thickBot="1">
      <c r="A18" s="518">
        <v>7</v>
      </c>
      <c r="B18" s="518" t="s">
        <v>73</v>
      </c>
      <c r="C18" s="580">
        <v>2018020009</v>
      </c>
      <c r="D18" s="526">
        <v>40611</v>
      </c>
      <c r="E18" s="520" t="s">
        <v>826</v>
      </c>
      <c r="F18" s="525" t="s">
        <v>43</v>
      </c>
      <c r="G18" s="522" t="s">
        <v>44</v>
      </c>
      <c r="H18" s="522">
        <f>'0012'!$L$31</f>
        <v>500000</v>
      </c>
      <c r="I18" s="522">
        <f>'0012'!$M$31</f>
        <v>270000</v>
      </c>
      <c r="J18" s="522"/>
      <c r="K18" s="522">
        <f>'0012'!$N$31</f>
        <v>0</v>
      </c>
      <c r="L18" s="523">
        <v>17464.325338901119</v>
      </c>
      <c r="M18" s="523">
        <v>23157.079072175129</v>
      </c>
      <c r="N18" s="523">
        <v>13348.609805447668</v>
      </c>
      <c r="O18" s="523">
        <v>10661.635198483193</v>
      </c>
      <c r="P18" s="523">
        <v>13921.233596425189</v>
      </c>
      <c r="Q18" s="523">
        <v>76046.070915483419</v>
      </c>
      <c r="R18" s="523">
        <v>44588.479764321877</v>
      </c>
      <c r="S18" s="522">
        <v>0</v>
      </c>
      <c r="T18" s="522">
        <f>H18+I18</f>
        <v>770000</v>
      </c>
      <c r="U18" s="522">
        <f t="shared" si="4"/>
        <v>199187.43369123759</v>
      </c>
      <c r="V18" s="542">
        <f t="shared" si="5"/>
        <v>969187.43369123759</v>
      </c>
      <c r="W18" s="524"/>
      <c r="X18" s="499">
        <v>100000</v>
      </c>
      <c r="Y18" s="500">
        <v>100000</v>
      </c>
      <c r="Z18" s="112">
        <f t="shared" si="6"/>
        <v>32824.876101925351</v>
      </c>
      <c r="AA18" s="112">
        <f t="shared" si="7"/>
        <v>4662.1847834535574</v>
      </c>
      <c r="AB18" s="112">
        <v>44588.479764321877</v>
      </c>
      <c r="AC18" s="112">
        <f t="shared" si="1"/>
        <v>0</v>
      </c>
      <c r="AD18" s="112">
        <f t="shared" si="2"/>
        <v>39676.12022693015</v>
      </c>
      <c r="AE18" s="112">
        <v>10661.635198483193</v>
      </c>
      <c r="AF18" s="112">
        <f t="shared" si="3"/>
        <v>39676.12022693015</v>
      </c>
      <c r="AG18" s="455" t="s">
        <v>580</v>
      </c>
      <c r="AH18" s="456"/>
      <c r="AI18" s="457">
        <f>AI25*20%</f>
        <v>0</v>
      </c>
    </row>
    <row r="19" spans="1:39" ht="13.5" customHeight="1" thickBot="1">
      <c r="A19" s="474">
        <v>9</v>
      </c>
      <c r="B19" s="486" t="s">
        <v>76</v>
      </c>
      <c r="C19" s="580">
        <v>2018020010</v>
      </c>
      <c r="D19" s="561">
        <v>40682</v>
      </c>
      <c r="E19" s="300" t="s">
        <v>82</v>
      </c>
      <c r="F19" s="165" t="s">
        <v>83</v>
      </c>
      <c r="G19" s="150" t="s">
        <v>84</v>
      </c>
      <c r="H19" s="150">
        <f>'0015'!$L$102</f>
        <v>500000</v>
      </c>
      <c r="I19" s="150">
        <f>'0015'!$M$102</f>
        <v>2980000</v>
      </c>
      <c r="J19" s="150"/>
      <c r="K19" s="150">
        <f>'0015'!$N$102</f>
        <v>1693000</v>
      </c>
      <c r="L19" s="151">
        <v>43422.663456267779</v>
      </c>
      <c r="M19" s="151">
        <v>120573.63708600706</v>
      </c>
      <c r="N19" s="151">
        <v>72064.091036910249</v>
      </c>
      <c r="O19" s="151">
        <v>61449.665940762294</v>
      </c>
      <c r="P19" s="151">
        <v>96621.500241963382</v>
      </c>
      <c r="Q19" s="151">
        <v>239989.5484735386</v>
      </c>
      <c r="R19" s="151">
        <v>175458.56322843544</v>
      </c>
      <c r="S19" s="150">
        <v>200000</v>
      </c>
      <c r="T19" s="150">
        <f>H19+I19</f>
        <v>3480000</v>
      </c>
      <c r="U19" s="150">
        <f t="shared" si="4"/>
        <v>2702579.6694638846</v>
      </c>
      <c r="V19" s="542">
        <f t="shared" si="5"/>
        <v>5782579.669463885</v>
      </c>
      <c r="W19" s="389"/>
      <c r="X19" s="490">
        <v>100000</v>
      </c>
      <c r="Y19" s="492">
        <v>100000</v>
      </c>
      <c r="Z19" s="112">
        <f t="shared" si="6"/>
        <v>148351.38809701329</v>
      </c>
      <c r="AA19" s="112">
        <f t="shared" si="7"/>
        <v>21070.653307036853</v>
      </c>
      <c r="AB19" s="112">
        <v>175458.56322843544</v>
      </c>
      <c r="AC19" s="112">
        <f t="shared" si="1"/>
        <v>0</v>
      </c>
      <c r="AD19" s="112">
        <f t="shared" si="2"/>
        <v>236724.41285546296</v>
      </c>
      <c r="AE19" s="112">
        <v>61449.665940762294</v>
      </c>
      <c r="AF19" s="112">
        <f t="shared" si="3"/>
        <v>236724.41285546296</v>
      </c>
      <c r="AG19" s="455" t="s">
        <v>583</v>
      </c>
      <c r="AH19" s="456"/>
      <c r="AI19" s="457">
        <f>AI15*5%</f>
        <v>0</v>
      </c>
    </row>
    <row r="20" spans="1:39" ht="13.5" customHeight="1" thickBot="1">
      <c r="A20" s="474">
        <v>10</v>
      </c>
      <c r="B20" s="474" t="s">
        <v>78</v>
      </c>
      <c r="C20" s="580">
        <v>2018020011</v>
      </c>
      <c r="D20" s="561">
        <v>40634</v>
      </c>
      <c r="E20" s="300" t="s">
        <v>90</v>
      </c>
      <c r="F20" s="165" t="s">
        <v>91</v>
      </c>
      <c r="G20" s="150" t="s">
        <v>128</v>
      </c>
      <c r="H20" s="150">
        <f>'0017'!$L$51</f>
        <v>500000</v>
      </c>
      <c r="I20" s="150">
        <f>'0017'!$M$51</f>
        <v>810000</v>
      </c>
      <c r="J20" s="150"/>
      <c r="K20" s="150">
        <f>'0017'!$N$51</f>
        <v>160000</v>
      </c>
      <c r="L20" s="151">
        <v>108755.11688315697</v>
      </c>
      <c r="M20" s="151">
        <v>758569.72228426323</v>
      </c>
      <c r="N20" s="151">
        <v>91134.160867784027</v>
      </c>
      <c r="O20" s="151">
        <v>72789.540742711848</v>
      </c>
      <c r="P20" s="151">
        <v>95043.600835260528</v>
      </c>
      <c r="Q20" s="151">
        <v>129377.08168738088</v>
      </c>
      <c r="R20" s="151">
        <v>75858.322715924223</v>
      </c>
      <c r="S20" s="150">
        <f>758000</f>
        <v>758000</v>
      </c>
      <c r="T20" s="150">
        <f>H20+I20</f>
        <v>1310000</v>
      </c>
      <c r="U20" s="150">
        <f t="shared" si="4"/>
        <v>2249527.5460164817</v>
      </c>
      <c r="V20" s="542">
        <f t="shared" si="5"/>
        <v>2043527.5460164817</v>
      </c>
      <c r="W20" s="389"/>
      <c r="X20" s="489">
        <v>100000</v>
      </c>
      <c r="Y20" s="491">
        <v>100000</v>
      </c>
      <c r="Z20" s="112">
        <f t="shared" si="6"/>
        <v>55844.919082496381</v>
      </c>
      <c r="AA20" s="112">
        <f t="shared" si="7"/>
        <v>7931.7689173041026</v>
      </c>
      <c r="AB20" s="112">
        <v>75858.322715924223</v>
      </c>
      <c r="AC20" s="112">
        <f t="shared" si="1"/>
        <v>0</v>
      </c>
      <c r="AD20" s="112">
        <f t="shared" si="2"/>
        <v>83656.92928352968</v>
      </c>
      <c r="AE20" s="112">
        <v>72789.540742711848</v>
      </c>
      <c r="AF20" s="112">
        <f t="shared" si="3"/>
        <v>83656.92928352968</v>
      </c>
      <c r="AG20" s="455" t="s">
        <v>585</v>
      </c>
      <c r="AH20" s="456"/>
      <c r="AI20" s="457">
        <f>AI26*5%</f>
        <v>0</v>
      </c>
    </row>
    <row r="21" spans="1:39" ht="13.5" customHeight="1" thickBot="1">
      <c r="A21" s="474">
        <v>11</v>
      </c>
      <c r="B21" s="486" t="s">
        <v>81</v>
      </c>
      <c r="C21" s="580">
        <v>2018020012</v>
      </c>
      <c r="D21" s="561">
        <v>40634</v>
      </c>
      <c r="E21" s="300" t="s">
        <v>94</v>
      </c>
      <c r="F21" s="165" t="s">
        <v>98</v>
      </c>
      <c r="G21" s="150" t="s">
        <v>129</v>
      </c>
      <c r="H21" s="150">
        <f>'0020'!$L$78</f>
        <v>500000</v>
      </c>
      <c r="I21" s="150">
        <f>'0020'!$M$78</f>
        <v>3585000</v>
      </c>
      <c r="J21" s="150"/>
      <c r="K21" s="150">
        <f>'0020'!$N$78</f>
        <v>252000</v>
      </c>
      <c r="L21" s="151">
        <v>74223.382690329745</v>
      </c>
      <c r="M21" s="151">
        <v>127673.02773935428</v>
      </c>
      <c r="N21" s="151">
        <v>82558.745618950154</v>
      </c>
      <c r="O21" s="151">
        <v>78587.77623915569</v>
      </c>
      <c r="P21" s="151">
        <v>107407.68537507897</v>
      </c>
      <c r="Q21" s="151">
        <v>319492.25897608948</v>
      </c>
      <c r="R21" s="151">
        <v>187329.52212672896</v>
      </c>
      <c r="S21" s="150">
        <f>127000+127000+500000</f>
        <v>754000</v>
      </c>
      <c r="T21" s="150">
        <f>(H21+I21)</f>
        <v>4085000</v>
      </c>
      <c r="U21" s="150">
        <f>SUM(K21:R21)-S21</f>
        <v>475272.39876568713</v>
      </c>
      <c r="V21" s="542">
        <f>(H21+I21+K21+L21+M21+N21+O21+P21+Q21+R21)-S21</f>
        <v>4560272.3987656878</v>
      </c>
      <c r="W21" s="389">
        <f>'0020'!P79</f>
        <v>4560272.3987656869</v>
      </c>
      <c r="X21" s="490">
        <v>100000</v>
      </c>
      <c r="Y21" s="492">
        <v>100000</v>
      </c>
      <c r="Z21" s="112">
        <f t="shared" si="6"/>
        <v>174142.36217709747</v>
      </c>
      <c r="AA21" s="112">
        <f t="shared" si="7"/>
        <v>24733.798494036077</v>
      </c>
      <c r="AB21" s="112">
        <v>187329.52212672896</v>
      </c>
      <c r="AC21" s="112">
        <f t="shared" si="1"/>
        <v>0</v>
      </c>
      <c r="AD21" s="112">
        <f t="shared" si="2"/>
        <v>186686.19677813558</v>
      </c>
      <c r="AE21" s="112">
        <v>78587.77623915569</v>
      </c>
      <c r="AF21" s="112">
        <f t="shared" si="3"/>
        <v>186686.19677813558</v>
      </c>
      <c r="AG21" s="380" t="s">
        <v>727</v>
      </c>
      <c r="AH21" s="381"/>
      <c r="AI21" s="385">
        <v>10500000</v>
      </c>
    </row>
    <row r="22" spans="1:39" ht="13.5" customHeight="1" thickBot="1">
      <c r="A22" s="474">
        <v>12</v>
      </c>
      <c r="B22" s="474" t="s">
        <v>133</v>
      </c>
      <c r="C22" s="580">
        <v>2018020013</v>
      </c>
      <c r="D22" s="561">
        <v>40698</v>
      </c>
      <c r="E22" s="300" t="s">
        <v>253</v>
      </c>
      <c r="F22" s="165" t="s">
        <v>256</v>
      </c>
      <c r="G22" s="150" t="s">
        <v>258</v>
      </c>
      <c r="H22" s="150">
        <f>'0023'!$L$67</f>
        <v>500000</v>
      </c>
      <c r="I22" s="150">
        <f>'0023'!$M$67</f>
        <v>840000</v>
      </c>
      <c r="J22" s="150"/>
      <c r="K22" s="150">
        <f>'0023'!$N$67</f>
        <v>191750</v>
      </c>
      <c r="L22" s="394">
        <f>77974.2434733437-50000</f>
        <v>27974.243473343697</v>
      </c>
      <c r="M22" s="151">
        <v>108218.2429623762</v>
      </c>
      <c r="N22" s="151">
        <v>59410.39141884524</v>
      </c>
      <c r="O22" s="151">
        <v>47451.527128190086</v>
      </c>
      <c r="P22" s="151">
        <v>81522.815642623347</v>
      </c>
      <c r="Q22" s="151">
        <v>132339.91561915298</v>
      </c>
      <c r="R22" s="151">
        <v>77595.536213235478</v>
      </c>
      <c r="S22" s="150">
        <f>108000+200000</f>
        <v>308000</v>
      </c>
      <c r="T22" s="150">
        <f t="shared" ref="T22:T39" si="8">H22+I22</f>
        <v>1340000</v>
      </c>
      <c r="U22" s="150">
        <f t="shared" ref="U22:U39" si="9">SUM(K22:S22)</f>
        <v>1034262.672457767</v>
      </c>
      <c r="V22" s="542">
        <f t="shared" si="5"/>
        <v>1758262.6724577672</v>
      </c>
      <c r="W22" s="389"/>
      <c r="X22" s="490">
        <v>100000</v>
      </c>
      <c r="Y22" s="492">
        <v>100000</v>
      </c>
      <c r="Z22" s="112">
        <f t="shared" si="6"/>
        <v>57123.810359194773</v>
      </c>
      <c r="AA22" s="112">
        <f t="shared" si="7"/>
        <v>8113.4124802957995</v>
      </c>
      <c r="AB22" s="112">
        <v>77595.536213235478</v>
      </c>
      <c r="AC22" s="112">
        <f t="shared" si="1"/>
        <v>0</v>
      </c>
      <c r="AD22" s="112">
        <f t="shared" si="2"/>
        <v>71978.895678895336</v>
      </c>
      <c r="AE22" s="112">
        <v>47451.527128190086</v>
      </c>
      <c r="AF22" s="112">
        <f t="shared" si="3"/>
        <v>71978.895678895336</v>
      </c>
      <c r="AG22" s="452" t="s">
        <v>581</v>
      </c>
      <c r="AH22" s="453"/>
      <c r="AI22" s="454">
        <v>1575000</v>
      </c>
    </row>
    <row r="23" spans="1:39" ht="13.5" customHeight="1" thickBot="1">
      <c r="A23" s="518">
        <v>13</v>
      </c>
      <c r="B23" s="518" t="s">
        <v>136</v>
      </c>
      <c r="C23" s="580">
        <v>2018020014</v>
      </c>
      <c r="D23" s="526">
        <v>40709</v>
      </c>
      <c r="E23" s="520" t="s">
        <v>268</v>
      </c>
      <c r="F23" s="525" t="s">
        <v>269</v>
      </c>
      <c r="G23" s="522" t="s">
        <v>265</v>
      </c>
      <c r="H23" s="522">
        <f>'0026'!$L$55</f>
        <v>500000</v>
      </c>
      <c r="I23" s="522">
        <f>'0026'!$M$55</f>
        <v>0</v>
      </c>
      <c r="J23" s="522"/>
      <c r="K23" s="522">
        <f>'0026'!$N$55</f>
        <v>0</v>
      </c>
      <c r="L23" s="523">
        <v>23814.989098501523</v>
      </c>
      <c r="M23" s="523">
        <v>31577.835098420634</v>
      </c>
      <c r="N23" s="523">
        <v>16614.879517193891</v>
      </c>
      <c r="O23" s="523">
        <v>21053.49665022246</v>
      </c>
      <c r="P23" s="523">
        <v>34826.662198656501</v>
      </c>
      <c r="Q23" s="523">
        <v>49380.565529534695</v>
      </c>
      <c r="R23" s="523">
        <v>28953.558288520704</v>
      </c>
      <c r="S23" s="522">
        <f>31000+50000</f>
        <v>81000</v>
      </c>
      <c r="T23" s="522">
        <f t="shared" si="8"/>
        <v>500000</v>
      </c>
      <c r="U23" s="522">
        <f t="shared" si="9"/>
        <v>287221.98638105043</v>
      </c>
      <c r="V23" s="542">
        <f t="shared" si="5"/>
        <v>625221.98638105032</v>
      </c>
      <c r="W23" s="524"/>
      <c r="X23" s="490">
        <v>100000</v>
      </c>
      <c r="Y23" s="492">
        <v>100000</v>
      </c>
      <c r="Z23" s="112">
        <f t="shared" si="6"/>
        <v>21314.854611639839</v>
      </c>
      <c r="AA23" s="112">
        <f t="shared" si="7"/>
        <v>3027.3927165282835</v>
      </c>
      <c r="AB23" s="112">
        <v>28953.558288520704</v>
      </c>
      <c r="AC23" s="112">
        <f t="shared" si="1"/>
        <v>0</v>
      </c>
      <c r="AD23" s="112">
        <f t="shared" si="2"/>
        <v>25595.031299257873</v>
      </c>
      <c r="AE23" s="112">
        <v>21053.49665022246</v>
      </c>
      <c r="AF23" s="112">
        <f t="shared" si="3"/>
        <v>25595.031299257873</v>
      </c>
      <c r="AG23" s="452" t="s">
        <v>584</v>
      </c>
      <c r="AH23" s="453"/>
      <c r="AI23" s="454">
        <v>525000</v>
      </c>
      <c r="AJ23" s="47"/>
    </row>
    <row r="24" spans="1:39" ht="13.5" customHeight="1" thickBot="1">
      <c r="A24" s="518">
        <v>14</v>
      </c>
      <c r="B24" s="519" t="s">
        <v>139</v>
      </c>
      <c r="C24" s="580">
        <v>2018020015</v>
      </c>
      <c r="D24" s="526">
        <v>40732</v>
      </c>
      <c r="E24" s="520" t="s">
        <v>275</v>
      </c>
      <c r="F24" s="525" t="s">
        <v>313</v>
      </c>
      <c r="G24" s="522" t="s">
        <v>96</v>
      </c>
      <c r="H24" s="522">
        <f>'0029'!$L$52</f>
        <v>500000</v>
      </c>
      <c r="I24" s="522">
        <f>'0029'!$M$52</f>
        <v>250000</v>
      </c>
      <c r="J24" s="522"/>
      <c r="K24" s="522">
        <f>'0029'!$N$52</f>
        <v>0</v>
      </c>
      <c r="L24" s="523">
        <v>23814.989098501523</v>
      </c>
      <c r="M24" s="523">
        <v>31577.835098420634</v>
      </c>
      <c r="N24" s="523">
        <v>18202.649734701361</v>
      </c>
      <c r="O24" s="523">
        <v>14538.59345247708</v>
      </c>
      <c r="P24" s="523">
        <v>18983.500358761619</v>
      </c>
      <c r="Q24" s="523">
        <v>74070.848294302035</v>
      </c>
      <c r="R24" s="523">
        <v>43430.33743278106</v>
      </c>
      <c r="S24" s="522">
        <v>0</v>
      </c>
      <c r="T24" s="522">
        <f t="shared" si="8"/>
        <v>750000</v>
      </c>
      <c r="U24" s="522">
        <f t="shared" si="9"/>
        <v>224618.75346994534</v>
      </c>
      <c r="V24" s="542">
        <f t="shared" si="5"/>
        <v>974618.7534699454</v>
      </c>
      <c r="W24" s="524"/>
      <c r="X24" s="499">
        <v>100000</v>
      </c>
      <c r="Y24" s="500">
        <v>100000</v>
      </c>
      <c r="Z24" s="112">
        <f t="shared" si="6"/>
        <v>31972.281917459761</v>
      </c>
      <c r="AA24" s="112">
        <f t="shared" si="7"/>
        <v>4541.089074792425</v>
      </c>
      <c r="AB24" s="112">
        <v>43430.33743278106</v>
      </c>
      <c r="AC24" s="112">
        <f t="shared" si="1"/>
        <v>0</v>
      </c>
      <c r="AD24" s="112">
        <f t="shared" si="2"/>
        <v>39898.464934506672</v>
      </c>
      <c r="AE24" s="112">
        <v>14538.59345247708</v>
      </c>
      <c r="AF24" s="112">
        <f t="shared" si="3"/>
        <v>39898.464934506672</v>
      </c>
      <c r="AG24" s="374"/>
      <c r="AH24" s="376"/>
      <c r="AI24" s="378"/>
    </row>
    <row r="25" spans="1:39" ht="13.5" customHeight="1" thickBot="1">
      <c r="A25" s="538">
        <v>15</v>
      </c>
      <c r="B25" s="538" t="s">
        <v>140</v>
      </c>
      <c r="C25" s="580">
        <v>2018020016</v>
      </c>
      <c r="D25" s="589">
        <v>40732</v>
      </c>
      <c r="E25" s="539" t="s">
        <v>278</v>
      </c>
      <c r="F25" s="540" t="s">
        <v>279</v>
      </c>
      <c r="G25" s="541" t="s">
        <v>280</v>
      </c>
      <c r="H25" s="541">
        <f>'0030'!$L$65</f>
        <v>500000</v>
      </c>
      <c r="I25" s="541">
        <f>'0030'!$M$65</f>
        <v>370000</v>
      </c>
      <c r="J25" s="541"/>
      <c r="K25" s="541">
        <f>'0030'!$N$65</f>
        <v>0</v>
      </c>
      <c r="L25" s="542">
        <v>31356.402313027007</v>
      </c>
      <c r="M25" s="542">
        <v>68394.9710886463</v>
      </c>
      <c r="N25" s="542">
        <v>49669.108034649864</v>
      </c>
      <c r="O25" s="542">
        <v>47454.157944299201</v>
      </c>
      <c r="P25" s="542">
        <v>61962.391843816833</v>
      </c>
      <c r="Q25" s="542">
        <v>85922.184021390363</v>
      </c>
      <c r="R25" s="542">
        <v>50379.191422026022</v>
      </c>
      <c r="S25" s="541">
        <v>0</v>
      </c>
      <c r="T25" s="541">
        <f t="shared" si="8"/>
        <v>870000</v>
      </c>
      <c r="U25" s="541">
        <f t="shared" si="9"/>
        <v>395138.40666785557</v>
      </c>
      <c r="V25" s="542">
        <f t="shared" si="5"/>
        <v>1265138.4066678556</v>
      </c>
      <c r="W25" s="543"/>
      <c r="X25" s="490">
        <v>100000</v>
      </c>
      <c r="Y25" s="492">
        <v>100000</v>
      </c>
      <c r="Z25" s="112">
        <f t="shared" si="6"/>
        <v>37087.847024253322</v>
      </c>
      <c r="AA25" s="112">
        <f t="shared" si="7"/>
        <v>5267.6633267592133</v>
      </c>
      <c r="AB25" s="112">
        <v>50379.191422026022</v>
      </c>
      <c r="AC25" s="112">
        <f t="shared" si="1"/>
        <v>0</v>
      </c>
      <c r="AD25" s="112">
        <f t="shared" si="2"/>
        <v>51791.61613299662</v>
      </c>
      <c r="AE25" s="112">
        <v>47454.157944299201</v>
      </c>
      <c r="AF25" s="112">
        <f t="shared" si="3"/>
        <v>51791.61613299662</v>
      </c>
      <c r="AG25" s="374"/>
      <c r="AH25" s="376"/>
      <c r="AI25" s="378"/>
    </row>
    <row r="26" spans="1:39" ht="13.5" customHeight="1" thickBot="1">
      <c r="A26" s="518">
        <v>16</v>
      </c>
      <c r="B26" s="519" t="s">
        <v>141</v>
      </c>
      <c r="C26" s="580">
        <v>2018020017</v>
      </c>
      <c r="D26" s="526">
        <v>40756</v>
      </c>
      <c r="E26" s="530" t="s">
        <v>287</v>
      </c>
      <c r="F26" s="531" t="s">
        <v>288</v>
      </c>
      <c r="G26" s="532" t="s">
        <v>289</v>
      </c>
      <c r="H26" s="532">
        <f>'0031'!$L$30</f>
        <v>500000</v>
      </c>
      <c r="I26" s="532">
        <f>'0031'!$M$30</f>
        <v>90000</v>
      </c>
      <c r="J26" s="532"/>
      <c r="K26" s="532">
        <f>'0031'!$N$30</f>
        <v>10000</v>
      </c>
      <c r="L26" s="533">
        <v>19845.824248751269</v>
      </c>
      <c r="M26" s="533">
        <v>26314.862582017195</v>
      </c>
      <c r="N26" s="533">
        <v>15168.874778917803</v>
      </c>
      <c r="O26" s="533">
        <v>12115.494543730903</v>
      </c>
      <c r="P26" s="533">
        <v>15819.583632301354</v>
      </c>
      <c r="Q26" s="533">
        <v>58269.067324850927</v>
      </c>
      <c r="R26" s="533">
        <v>34165.198780454426</v>
      </c>
      <c r="S26" s="532">
        <v>0</v>
      </c>
      <c r="T26" s="532">
        <f t="shared" si="8"/>
        <v>590000</v>
      </c>
      <c r="U26" s="532">
        <f t="shared" si="9"/>
        <v>191698.9058910239</v>
      </c>
      <c r="V26" s="542">
        <f t="shared" si="5"/>
        <v>781698.90589102381</v>
      </c>
      <c r="W26" s="547"/>
      <c r="X26" s="499">
        <v>100000</v>
      </c>
      <c r="Y26" s="500">
        <v>100000</v>
      </c>
      <c r="Z26" s="112">
        <f t="shared" si="6"/>
        <v>25151.528441735009</v>
      </c>
      <c r="AA26" s="112">
        <f t="shared" si="7"/>
        <v>3572.3234055033745</v>
      </c>
      <c r="AB26" s="112">
        <v>34165.198780454426</v>
      </c>
      <c r="AC26" s="471">
        <f t="shared" si="1"/>
        <v>0</v>
      </c>
      <c r="AD26" s="471">
        <f t="shared" si="2"/>
        <v>32000.806751351942</v>
      </c>
      <c r="AE26" s="471">
        <v>12115.494543730903</v>
      </c>
      <c r="AF26" s="471">
        <f t="shared" si="3"/>
        <v>32000.806751351942</v>
      </c>
      <c r="AG26"/>
      <c r="AH26" s="618" t="s">
        <v>1099</v>
      </c>
      <c r="AI26" s="363"/>
      <c r="AJ26" s="619">
        <v>13500000</v>
      </c>
      <c r="AK26" s="670" t="s">
        <v>1101</v>
      </c>
      <c r="AL26" s="671"/>
      <c r="AM26" s="623" t="s">
        <v>1102</v>
      </c>
    </row>
    <row r="27" spans="1:39" ht="13.5" customHeight="1" thickBot="1">
      <c r="A27" s="474">
        <v>17</v>
      </c>
      <c r="B27" s="474" t="s">
        <v>146</v>
      </c>
      <c r="C27" s="580">
        <v>2018020018</v>
      </c>
      <c r="D27" s="561">
        <v>41061</v>
      </c>
      <c r="E27" s="300" t="s">
        <v>330</v>
      </c>
      <c r="F27" s="165" t="s">
        <v>331</v>
      </c>
      <c r="G27" s="150" t="s">
        <v>332</v>
      </c>
      <c r="H27" s="150">
        <f>'0036'!$L$51</f>
        <v>500000</v>
      </c>
      <c r="I27" s="150">
        <f>'0036'!$M$51</f>
        <v>875000</v>
      </c>
      <c r="J27" s="150"/>
      <c r="K27" s="150">
        <f>'0036'!$N$51</f>
        <v>59000</v>
      </c>
      <c r="L27" s="151">
        <v>28985.349463260587</v>
      </c>
      <c r="M27" s="151">
        <v>93908.539108100624</v>
      </c>
      <c r="N27" s="151">
        <v>49369.097068099181</v>
      </c>
      <c r="O27" s="151">
        <v>58889.13777076541</v>
      </c>
      <c r="P27" s="151">
        <v>76893.405930407695</v>
      </c>
      <c r="Q27" s="151">
        <v>135796.55520622042</v>
      </c>
      <c r="R27" s="151">
        <v>79622.285293431923</v>
      </c>
      <c r="S27" s="150">
        <f>93000+200000</f>
        <v>293000</v>
      </c>
      <c r="T27" s="150">
        <f t="shared" si="8"/>
        <v>1375000</v>
      </c>
      <c r="U27" s="150">
        <f t="shared" si="9"/>
        <v>875464.36984028586</v>
      </c>
      <c r="V27" s="542">
        <f t="shared" si="5"/>
        <v>1664464.3698402857</v>
      </c>
      <c r="W27" s="389"/>
      <c r="X27" s="490">
        <v>100000</v>
      </c>
      <c r="Y27" s="492">
        <v>100000</v>
      </c>
      <c r="Z27" s="112">
        <f t="shared" si="6"/>
        <v>58615.850182009563</v>
      </c>
      <c r="AA27" s="112">
        <f t="shared" si="7"/>
        <v>8325.3299704527799</v>
      </c>
      <c r="AB27" s="112">
        <v>79622.285293431923</v>
      </c>
      <c r="AC27" s="112">
        <f t="shared" si="1"/>
        <v>0</v>
      </c>
      <c r="AD27" s="112">
        <f t="shared" si="2"/>
        <v>68139.026730575089</v>
      </c>
      <c r="AE27" s="112">
        <v>58889.13777076541</v>
      </c>
      <c r="AF27" s="112">
        <f t="shared" si="3"/>
        <v>68139.026730575089</v>
      </c>
      <c r="AG27" s="615">
        <v>0.4</v>
      </c>
      <c r="AH27" s="616" t="s">
        <v>579</v>
      </c>
      <c r="AI27" s="361"/>
      <c r="AJ27" s="617">
        <f>$AJ$26*AG27</f>
        <v>5400000</v>
      </c>
      <c r="AK27" s="620" t="s">
        <v>1100</v>
      </c>
      <c r="AL27" s="621">
        <f>AJ27*10%</f>
        <v>540000</v>
      </c>
      <c r="AM27" s="622">
        <f>AJ27-AL27</f>
        <v>4860000</v>
      </c>
    </row>
    <row r="28" spans="1:39" s="47" customFormat="1" ht="15" customHeight="1" thickBot="1">
      <c r="A28" s="474">
        <v>18</v>
      </c>
      <c r="B28" s="486" t="s">
        <v>147</v>
      </c>
      <c r="C28" s="580">
        <v>2018020019</v>
      </c>
      <c r="D28" s="561">
        <v>41116</v>
      </c>
      <c r="E28" s="300" t="s">
        <v>353</v>
      </c>
      <c r="F28" s="165" t="s">
        <v>349</v>
      </c>
      <c r="G28" s="150" t="s">
        <v>350</v>
      </c>
      <c r="H28" s="150">
        <f>'0037'!$L$50</f>
        <v>500000</v>
      </c>
      <c r="I28" s="150">
        <f>'0037'!$M$50</f>
        <v>1575000</v>
      </c>
      <c r="J28" s="150"/>
      <c r="K28" s="150">
        <f>'0037'!$N$50</f>
        <v>0</v>
      </c>
      <c r="L28" s="151">
        <v>18618.544105383215</v>
      </c>
      <c r="M28" s="151">
        <v>87144.017345246175</v>
      </c>
      <c r="N28" s="151">
        <v>63703.521055552184</v>
      </c>
      <c r="O28" s="151">
        <v>50880.482106534451</v>
      </c>
      <c r="P28" s="151">
        <v>66436.251448986834</v>
      </c>
      <c r="Q28" s="151">
        <v>111106.27244145305</v>
      </c>
      <c r="R28" s="151">
        <v>94099.064437692272</v>
      </c>
      <c r="S28" s="150">
        <f>87000+100000</f>
        <v>187000</v>
      </c>
      <c r="T28" s="150">
        <f t="shared" si="8"/>
        <v>2075000</v>
      </c>
      <c r="U28" s="150">
        <f t="shared" si="9"/>
        <v>678988.15294084814</v>
      </c>
      <c r="V28" s="542">
        <f t="shared" si="5"/>
        <v>2379988.1529408479</v>
      </c>
      <c r="W28" s="389"/>
      <c r="X28" s="490">
        <v>100000</v>
      </c>
      <c r="Y28" s="492">
        <v>100000</v>
      </c>
      <c r="Z28" s="112">
        <f t="shared" si="6"/>
        <v>88456.646638305348</v>
      </c>
      <c r="AA28" s="112">
        <f t="shared" si="7"/>
        <v>12563.679773592376</v>
      </c>
      <c r="AB28" s="112">
        <v>94099.064437692272</v>
      </c>
      <c r="AC28" s="112">
        <f t="shared" si="1"/>
        <v>0</v>
      </c>
      <c r="AD28" s="112">
        <f t="shared" si="2"/>
        <v>97430.788733104302</v>
      </c>
      <c r="AE28" s="112">
        <v>50880.482106534451</v>
      </c>
      <c r="AF28" s="112">
        <f t="shared" si="3"/>
        <v>97430.788733104302</v>
      </c>
      <c r="AG28" s="615">
        <v>0.1</v>
      </c>
      <c r="AH28" s="616" t="s">
        <v>1098</v>
      </c>
      <c r="AI28" s="361"/>
      <c r="AJ28" s="617">
        <f t="shared" ref="AJ28:AJ33" si="10">$AJ$26*AG28</f>
        <v>1350000</v>
      </c>
    </row>
    <row r="29" spans="1:39" s="47" customFormat="1" ht="15" customHeight="1" thickBot="1">
      <c r="A29" s="474">
        <v>19</v>
      </c>
      <c r="B29" s="474" t="s">
        <v>148</v>
      </c>
      <c r="C29" s="580">
        <v>2018020020</v>
      </c>
      <c r="D29" s="561">
        <v>41117</v>
      </c>
      <c r="E29" s="300" t="s">
        <v>354</v>
      </c>
      <c r="F29" s="165" t="s">
        <v>396</v>
      </c>
      <c r="G29" s="150" t="s">
        <v>355</v>
      </c>
      <c r="H29" s="150">
        <f>'0038'!$L$49</f>
        <v>500000</v>
      </c>
      <c r="I29" s="150">
        <f>'0038'!$M$49</f>
        <v>2050000</v>
      </c>
      <c r="J29" s="150"/>
      <c r="K29" s="150">
        <f>'0038'!$N$49</f>
        <v>150000</v>
      </c>
      <c r="L29" s="151">
        <v>29789.670568613143</v>
      </c>
      <c r="M29" s="151">
        <v>197941.31111761378</v>
      </c>
      <c r="N29" s="151">
        <v>114100.80339806702</v>
      </c>
      <c r="O29" s="151">
        <v>91133.171125249239</v>
      </c>
      <c r="P29" s="151">
        <v>118995.45801361489</v>
      </c>
      <c r="Q29" s="151">
        <v>251840.88420062693</v>
      </c>
      <c r="R29" s="151">
        <v>147663.14727145556</v>
      </c>
      <c r="S29" s="150">
        <v>200000</v>
      </c>
      <c r="T29" s="150">
        <f t="shared" si="8"/>
        <v>2550000</v>
      </c>
      <c r="U29" s="150">
        <f t="shared" si="9"/>
        <v>1301464.4456952405</v>
      </c>
      <c r="V29" s="542">
        <f t="shared" si="5"/>
        <v>3451464.445695241</v>
      </c>
      <c r="W29" s="389"/>
      <c r="X29" s="490">
        <v>100000</v>
      </c>
      <c r="Y29" s="492">
        <v>100000</v>
      </c>
      <c r="Z29" s="112">
        <f t="shared" si="6"/>
        <v>108705.75851936318</v>
      </c>
      <c r="AA29" s="112">
        <f>(T29/$W$65)*(12/12)*$AA$9*100%</f>
        <v>15439.702854294246</v>
      </c>
      <c r="AB29" s="112">
        <v>147663.14727145556</v>
      </c>
      <c r="AC29" s="112">
        <f t="shared" si="1"/>
        <v>0</v>
      </c>
      <c r="AD29" s="112">
        <f t="shared" si="2"/>
        <v>141294.36014747754</v>
      </c>
      <c r="AE29" s="112">
        <v>91133.171125249239</v>
      </c>
      <c r="AF29" s="112">
        <f t="shared" si="3"/>
        <v>141294.36014747754</v>
      </c>
      <c r="AG29" s="615">
        <v>0.15</v>
      </c>
      <c r="AH29" s="360" t="s">
        <v>581</v>
      </c>
      <c r="AI29" s="361"/>
      <c r="AJ29" s="617">
        <f t="shared" si="10"/>
        <v>2025000</v>
      </c>
    </row>
    <row r="30" spans="1:39" s="47" customFormat="1" ht="15" customHeight="1" thickBot="1">
      <c r="A30" s="474">
        <v>20</v>
      </c>
      <c r="B30" s="474" t="s">
        <v>150</v>
      </c>
      <c r="C30" s="580">
        <v>2018020021</v>
      </c>
      <c r="D30" s="561">
        <v>41263</v>
      </c>
      <c r="E30" s="300" t="s">
        <v>376</v>
      </c>
      <c r="F30" s="165" t="s">
        <v>377</v>
      </c>
      <c r="G30" s="150" t="s">
        <v>370</v>
      </c>
      <c r="H30" s="150">
        <f>'0040'!$L$50</f>
        <v>500000</v>
      </c>
      <c r="I30" s="150">
        <f>'0040'!$M$50</f>
        <v>600000</v>
      </c>
      <c r="J30" s="150"/>
      <c r="K30" s="150">
        <f>'0040'!$N$50</f>
        <v>0</v>
      </c>
      <c r="L30" s="151">
        <v>2978.9670568613137</v>
      </c>
      <c r="M30" s="151">
        <v>58801.386688574647</v>
      </c>
      <c r="N30" s="151">
        <v>49260.845208413077</v>
      </c>
      <c r="O30" s="151">
        <v>49073.842157332379</v>
      </c>
      <c r="P30" s="151">
        <v>64077.264643561924</v>
      </c>
      <c r="Q30" s="151">
        <v>108637.24416497632</v>
      </c>
      <c r="R30" s="151">
        <v>63697.828234745539</v>
      </c>
      <c r="S30" s="150">
        <f>50000+100000</f>
        <v>150000</v>
      </c>
      <c r="T30" s="150">
        <f t="shared" si="8"/>
        <v>1100000</v>
      </c>
      <c r="U30" s="150">
        <f t="shared" si="9"/>
        <v>546527.37815446523</v>
      </c>
      <c r="V30" s="542">
        <f t="shared" si="5"/>
        <v>1346527.3781544655</v>
      </c>
      <c r="W30" s="389"/>
      <c r="X30" s="490">
        <v>100000</v>
      </c>
      <c r="Y30" s="492">
        <v>100000</v>
      </c>
      <c r="Z30" s="112">
        <f t="shared" si="6"/>
        <v>46892.680145607643</v>
      </c>
      <c r="AA30" s="112">
        <f t="shared" si="7"/>
        <v>6660.2639763622237</v>
      </c>
      <c r="AB30" s="112">
        <v>63697.828234745539</v>
      </c>
      <c r="AC30" s="112">
        <f t="shared" si="1"/>
        <v>0</v>
      </c>
      <c r="AD30" s="112">
        <f t="shared" si="2"/>
        <v>55123.477964459111</v>
      </c>
      <c r="AE30" s="112">
        <v>49073.842157332379</v>
      </c>
      <c r="AF30" s="112">
        <f t="shared" si="3"/>
        <v>55123.477964459111</v>
      </c>
      <c r="AG30" s="615">
        <v>0.2</v>
      </c>
      <c r="AH30" s="360" t="s">
        <v>684</v>
      </c>
      <c r="AI30" s="361"/>
      <c r="AJ30" s="617">
        <f t="shared" si="10"/>
        <v>2700000</v>
      </c>
    </row>
    <row r="31" spans="1:39" s="47" customFormat="1" ht="15" customHeight="1" thickBot="1">
      <c r="A31" s="569">
        <v>21</v>
      </c>
      <c r="B31" s="570" t="s">
        <v>151</v>
      </c>
      <c r="C31" s="570"/>
      <c r="D31" s="590">
        <v>41326</v>
      </c>
      <c r="E31" s="396" t="s">
        <v>401</v>
      </c>
      <c r="F31" s="397" t="s">
        <v>473</v>
      </c>
      <c r="G31" s="398" t="s">
        <v>764</v>
      </c>
      <c r="H31" s="398"/>
      <c r="I31" s="398"/>
      <c r="J31" s="398"/>
      <c r="K31" s="398"/>
      <c r="L31" s="398"/>
      <c r="M31" s="399"/>
      <c r="N31" s="399"/>
      <c r="O31" s="399"/>
      <c r="P31" s="399"/>
      <c r="Q31" s="399"/>
      <c r="R31" s="399">
        <v>0</v>
      </c>
      <c r="S31" s="571"/>
      <c r="T31" s="398"/>
      <c r="U31" s="398"/>
      <c r="V31" s="542">
        <f t="shared" si="5"/>
        <v>0</v>
      </c>
      <c r="W31" s="389"/>
      <c r="X31" s="490">
        <v>100000</v>
      </c>
      <c r="Y31" s="492">
        <v>100000</v>
      </c>
      <c r="Z31" s="112">
        <f t="shared" si="6"/>
        <v>0</v>
      </c>
      <c r="AA31" s="112">
        <f t="shared" si="7"/>
        <v>0</v>
      </c>
      <c r="AB31" s="112">
        <v>0</v>
      </c>
      <c r="AC31" s="112">
        <f t="shared" si="1"/>
        <v>0</v>
      </c>
      <c r="AD31" s="112">
        <f t="shared" si="2"/>
        <v>0</v>
      </c>
      <c r="AE31" s="112">
        <v>65499.377785976096</v>
      </c>
      <c r="AF31" s="112">
        <f t="shared" si="3"/>
        <v>0</v>
      </c>
      <c r="AG31" s="615">
        <v>0.05</v>
      </c>
      <c r="AH31" s="360" t="s">
        <v>583</v>
      </c>
      <c r="AI31" s="361"/>
      <c r="AJ31" s="617">
        <f t="shared" si="10"/>
        <v>675000</v>
      </c>
    </row>
    <row r="32" spans="1:39" ht="15" customHeight="1" thickBot="1">
      <c r="A32" s="538">
        <v>22</v>
      </c>
      <c r="B32" s="538" t="s">
        <v>152</v>
      </c>
      <c r="C32" s="580">
        <v>2018020022</v>
      </c>
      <c r="D32" s="589">
        <v>41340</v>
      </c>
      <c r="E32" s="539" t="s">
        <v>409</v>
      </c>
      <c r="F32" s="540" t="s">
        <v>445</v>
      </c>
      <c r="G32" s="541" t="s">
        <v>414</v>
      </c>
      <c r="H32" s="541">
        <f>'0042'!$L$55</f>
        <v>500000</v>
      </c>
      <c r="I32" s="541">
        <f>'0042'!$M$55</f>
        <v>425000</v>
      </c>
      <c r="J32" s="541"/>
      <c r="K32" s="541">
        <f>'0042'!$N$55</f>
        <v>0</v>
      </c>
      <c r="L32" s="541">
        <v>0</v>
      </c>
      <c r="M32" s="542">
        <v>59572.545247418253</v>
      </c>
      <c r="N32" s="542">
        <v>49967.259108445571</v>
      </c>
      <c r="O32" s="542">
        <v>41854.993030104379</v>
      </c>
      <c r="P32" s="542">
        <v>54651.38548650837</v>
      </c>
      <c r="Q32" s="542">
        <v>91354.046229639163</v>
      </c>
      <c r="R32" s="542">
        <v>53564.082833763299</v>
      </c>
      <c r="S32" s="541">
        <f>59000+100000</f>
        <v>159000</v>
      </c>
      <c r="T32" s="541">
        <f t="shared" si="8"/>
        <v>925000</v>
      </c>
      <c r="U32" s="541">
        <f t="shared" si="9"/>
        <v>509964.31193587906</v>
      </c>
      <c r="V32" s="542">
        <f t="shared" si="5"/>
        <v>1116964.3119358788</v>
      </c>
      <c r="W32" s="543"/>
      <c r="X32" s="490">
        <v>100000</v>
      </c>
      <c r="Y32" s="492">
        <v>100000</v>
      </c>
      <c r="Z32" s="112">
        <f t="shared" si="6"/>
        <v>39432.481031533702</v>
      </c>
      <c r="AA32" s="112">
        <f t="shared" si="7"/>
        <v>5600.6765255773253</v>
      </c>
      <c r="AB32" s="112">
        <v>53564.082833763299</v>
      </c>
      <c r="AC32" s="112">
        <f t="shared" si="1"/>
        <v>0</v>
      </c>
      <c r="AD32" s="112">
        <f t="shared" si="2"/>
        <v>45725.737653008648</v>
      </c>
      <c r="AE32" s="112">
        <v>41854.993030104379</v>
      </c>
      <c r="AF32" s="112">
        <f t="shared" si="3"/>
        <v>45725.737653008648</v>
      </c>
      <c r="AG32" s="615">
        <v>0.05</v>
      </c>
      <c r="AH32" s="360" t="s">
        <v>584</v>
      </c>
      <c r="AI32" s="361"/>
      <c r="AJ32" s="617">
        <f t="shared" si="10"/>
        <v>675000</v>
      </c>
    </row>
    <row r="33" spans="1:36" ht="15" customHeight="1" thickBot="1">
      <c r="A33" s="518">
        <v>23</v>
      </c>
      <c r="B33" s="519" t="s">
        <v>153</v>
      </c>
      <c r="C33" s="580">
        <v>2018020023</v>
      </c>
      <c r="D33" s="526">
        <v>43273</v>
      </c>
      <c r="E33" s="520" t="s">
        <v>890</v>
      </c>
      <c r="F33" s="525"/>
      <c r="G33" s="522"/>
      <c r="H33" s="522">
        <v>500000</v>
      </c>
      <c r="I33" s="522">
        <f>'0043'!$M$30</f>
        <v>0</v>
      </c>
      <c r="J33" s="522"/>
      <c r="K33" s="522">
        <f>'0043'!$N$30</f>
        <v>0</v>
      </c>
      <c r="L33" s="522">
        <v>0</v>
      </c>
      <c r="M33" s="523">
        <v>0</v>
      </c>
      <c r="N33" s="523">
        <v>0</v>
      </c>
      <c r="O33" s="523">
        <v>0</v>
      </c>
      <c r="P33" s="523">
        <v>0</v>
      </c>
      <c r="Q33" s="523">
        <v>23756.731073804247</v>
      </c>
      <c r="R33" s="523">
        <v>28953.558288520704</v>
      </c>
      <c r="S33" s="522">
        <v>0</v>
      </c>
      <c r="T33" s="522">
        <f t="shared" si="8"/>
        <v>500000</v>
      </c>
      <c r="U33" s="522">
        <f t="shared" si="9"/>
        <v>52710.289362324955</v>
      </c>
      <c r="V33" s="542">
        <f t="shared" si="5"/>
        <v>552710.28936232498</v>
      </c>
      <c r="W33" s="524"/>
      <c r="X33" s="490">
        <v>100000</v>
      </c>
      <c r="Y33" s="492">
        <v>100000</v>
      </c>
      <c r="Z33" s="112">
        <f t="shared" si="6"/>
        <v>21314.854611639839</v>
      </c>
      <c r="AA33" s="112">
        <f t="shared" si="7"/>
        <v>3027.3927165282835</v>
      </c>
      <c r="AB33" s="112">
        <v>28953.558288520704</v>
      </c>
      <c r="AC33" s="121">
        <f t="shared" si="1"/>
        <v>0</v>
      </c>
      <c r="AD33" s="121">
        <f t="shared" si="2"/>
        <v>22626.582979806975</v>
      </c>
      <c r="AE33" s="121">
        <v>0</v>
      </c>
      <c r="AF33" s="121">
        <f t="shared" si="3"/>
        <v>22626.582979806975</v>
      </c>
      <c r="AG33" s="615">
        <v>0.05</v>
      </c>
      <c r="AH33" s="360" t="s">
        <v>585</v>
      </c>
      <c r="AI33" s="361"/>
      <c r="AJ33" s="617">
        <f t="shared" si="10"/>
        <v>675000</v>
      </c>
    </row>
    <row r="34" spans="1:36" ht="15" customHeight="1" thickBot="1">
      <c r="A34" s="474">
        <v>24</v>
      </c>
      <c r="B34" s="474" t="s">
        <v>155</v>
      </c>
      <c r="C34" s="580">
        <v>2018020024</v>
      </c>
      <c r="D34" s="561">
        <v>41476</v>
      </c>
      <c r="E34" s="300" t="s">
        <v>460</v>
      </c>
      <c r="F34" s="165" t="s">
        <v>474</v>
      </c>
      <c r="G34" s="150" t="s">
        <v>461</v>
      </c>
      <c r="H34" s="150">
        <f>'0045'!L66</f>
        <v>500000</v>
      </c>
      <c r="I34" s="150">
        <f>'0045'!$M$66</f>
        <v>1030000</v>
      </c>
      <c r="J34" s="150"/>
      <c r="K34" s="150">
        <f>'0045'!$N$66</f>
        <v>20000</v>
      </c>
      <c r="L34" s="150">
        <v>0</v>
      </c>
      <c r="M34" s="151">
        <v>27153.675242465968</v>
      </c>
      <c r="N34" s="151">
        <v>51226.26511227835</v>
      </c>
      <c r="O34" s="151">
        <v>40914.803801142516</v>
      </c>
      <c r="P34" s="151">
        <v>85215.021509618295</v>
      </c>
      <c r="Q34" s="151">
        <v>151104.53052037614</v>
      </c>
      <c r="R34" s="151">
        <v>88597.888362873346</v>
      </c>
      <c r="S34" s="150">
        <v>27000</v>
      </c>
      <c r="T34" s="150">
        <f t="shared" si="8"/>
        <v>1530000</v>
      </c>
      <c r="U34" s="150">
        <f t="shared" si="9"/>
        <v>491212.18454875459</v>
      </c>
      <c r="V34" s="542">
        <f t="shared" si="5"/>
        <v>1967212.1845487545</v>
      </c>
      <c r="W34" s="389"/>
      <c r="X34" s="490">
        <v>100000</v>
      </c>
      <c r="Y34" s="492">
        <v>100000</v>
      </c>
      <c r="Z34" s="112">
        <f t="shared" si="6"/>
        <v>65223.455111617914</v>
      </c>
      <c r="AA34" s="112">
        <f t="shared" si="7"/>
        <v>9263.8217125765477</v>
      </c>
      <c r="AB34" s="112">
        <v>88597.888362873346</v>
      </c>
      <c r="AC34" s="112">
        <f t="shared" si="1"/>
        <v>0</v>
      </c>
      <c r="AD34" s="112">
        <f t="shared" si="2"/>
        <v>80532.768412785445</v>
      </c>
      <c r="AE34" s="112">
        <v>40914.803801142516</v>
      </c>
      <c r="AF34" s="112">
        <f t="shared" si="3"/>
        <v>80532.768412785445</v>
      </c>
      <c r="AG34"/>
      <c r="AH34" s="363" t="s">
        <v>728</v>
      </c>
      <c r="AI34" s="359"/>
      <c r="AJ34" s="364">
        <f>SUM(AJ27:AJ33)</f>
        <v>13500000</v>
      </c>
    </row>
    <row r="35" spans="1:36" s="152" customFormat="1" ht="15" customHeight="1" thickBot="1">
      <c r="A35" s="569">
        <v>25</v>
      </c>
      <c r="B35" s="570" t="s">
        <v>156</v>
      </c>
      <c r="C35" s="635">
        <v>2018020025</v>
      </c>
      <c r="D35" s="590">
        <v>41513</v>
      </c>
      <c r="E35" s="396" t="s">
        <v>870</v>
      </c>
      <c r="F35" s="397" t="s">
        <v>432</v>
      </c>
      <c r="G35" s="398" t="s">
        <v>433</v>
      </c>
      <c r="H35" s="398">
        <f>'0046'!L54</f>
        <v>500000</v>
      </c>
      <c r="I35" s="398">
        <f>'0046'!M54</f>
        <v>1650000</v>
      </c>
      <c r="J35" s="398"/>
      <c r="K35" s="398">
        <f>'0046'!$N$54</f>
        <v>0</v>
      </c>
      <c r="L35" s="398">
        <v>0</v>
      </c>
      <c r="M35" s="399">
        <v>0</v>
      </c>
      <c r="N35" s="399">
        <v>0</v>
      </c>
      <c r="O35" s="399">
        <v>0</v>
      </c>
      <c r="P35" s="399">
        <v>0</v>
      </c>
      <c r="Q35" s="399">
        <v>98761.13105906939</v>
      </c>
      <c r="R35" s="399">
        <v>81069.963207857974</v>
      </c>
      <c r="S35" s="398">
        <v>2329831.0942669273</v>
      </c>
      <c r="T35" s="398">
        <f t="shared" si="8"/>
        <v>2150000</v>
      </c>
      <c r="U35" s="398">
        <f t="shared" si="9"/>
        <v>2509662.1885338547</v>
      </c>
      <c r="V35" s="399">
        <f t="shared" si="5"/>
        <v>0</v>
      </c>
      <c r="W35" s="389"/>
      <c r="X35" s="490">
        <v>100000</v>
      </c>
      <c r="Y35" s="492">
        <v>100000</v>
      </c>
      <c r="Z35" s="112">
        <f t="shared" si="6"/>
        <v>91653.874830051311</v>
      </c>
      <c r="AA35" s="112">
        <f>(T35/$W$65)*(12/12)*$AA$9*100%</f>
        <v>13017.788681071619</v>
      </c>
      <c r="AB35" s="112">
        <v>81069.963207857974</v>
      </c>
      <c r="AC35" s="112">
        <f t="shared" si="1"/>
        <v>0</v>
      </c>
      <c r="AD35" s="112">
        <f t="shared" si="2"/>
        <v>0</v>
      </c>
      <c r="AE35" s="112">
        <v>59458.764318382593</v>
      </c>
      <c r="AF35" s="112">
        <f t="shared" si="3"/>
        <v>0</v>
      </c>
      <c r="AG35" s="3"/>
      <c r="AH35" s="3"/>
      <c r="AI35" s="3"/>
      <c r="AJ35" s="2"/>
    </row>
    <row r="36" spans="1:36" ht="15" customHeight="1" thickBot="1">
      <c r="A36" s="518">
        <v>26</v>
      </c>
      <c r="B36" s="534" t="s">
        <v>157</v>
      </c>
      <c r="C36" s="580">
        <v>2018020026</v>
      </c>
      <c r="D36" s="591">
        <v>43082</v>
      </c>
      <c r="E36" s="520" t="str">
        <f>'0047'!D1</f>
        <v>JAMALI</v>
      </c>
      <c r="F36" s="525" t="s">
        <v>502</v>
      </c>
      <c r="G36" s="522" t="s">
        <v>411</v>
      </c>
      <c r="H36" s="522">
        <f>'0047'!L50</f>
        <v>500000</v>
      </c>
      <c r="I36" s="522">
        <f>'0047'!M50</f>
        <v>0</v>
      </c>
      <c r="J36" s="522"/>
      <c r="K36" s="522">
        <f>'0047'!$N$50</f>
        <v>0</v>
      </c>
      <c r="L36" s="522">
        <v>0</v>
      </c>
      <c r="M36" s="523">
        <v>0</v>
      </c>
      <c r="N36" s="523">
        <v>0</v>
      </c>
      <c r="O36" s="523">
        <v>0</v>
      </c>
      <c r="P36" s="523">
        <v>0</v>
      </c>
      <c r="Q36" s="523">
        <v>49380.565529534695</v>
      </c>
      <c r="R36" s="523">
        <v>28953.558288520704</v>
      </c>
      <c r="S36" s="522">
        <v>0</v>
      </c>
      <c r="T36" s="522">
        <f t="shared" si="8"/>
        <v>500000</v>
      </c>
      <c r="U36" s="522">
        <f t="shared" si="9"/>
        <v>78334.123818055406</v>
      </c>
      <c r="V36" s="542">
        <f t="shared" si="5"/>
        <v>578334.12381805538</v>
      </c>
      <c r="W36" s="524"/>
      <c r="X36" s="506">
        <v>0</v>
      </c>
      <c r="Y36" s="507">
        <v>0</v>
      </c>
      <c r="Z36" s="112">
        <f t="shared" si="6"/>
        <v>21314.854611639839</v>
      </c>
      <c r="AA36" s="112">
        <f t="shared" si="7"/>
        <v>3027.3927165282835</v>
      </c>
      <c r="AB36" s="112">
        <v>28953.558288520704</v>
      </c>
      <c r="AC36" s="121">
        <f t="shared" si="1"/>
        <v>0</v>
      </c>
      <c r="AD36" s="121">
        <f t="shared" si="2"/>
        <v>23675.558958239235</v>
      </c>
      <c r="AE36" s="121">
        <v>33787.169760257137</v>
      </c>
      <c r="AF36" s="121">
        <f t="shared" si="3"/>
        <v>23675.558958239235</v>
      </c>
      <c r="AG36" s="118"/>
      <c r="AH36" s="118"/>
      <c r="AI36" s="118"/>
      <c r="AJ36" s="152"/>
    </row>
    <row r="37" spans="1:36" ht="15" customHeight="1" thickBot="1">
      <c r="A37" s="538">
        <v>27</v>
      </c>
      <c r="B37" s="545" t="s">
        <v>158</v>
      </c>
      <c r="C37" s="580">
        <v>2018020027</v>
      </c>
      <c r="D37" s="589">
        <v>43239</v>
      </c>
      <c r="E37" s="539" t="s">
        <v>880</v>
      </c>
      <c r="F37" s="540" t="s">
        <v>881</v>
      </c>
      <c r="G37" s="541" t="s">
        <v>882</v>
      </c>
      <c r="H37" s="541">
        <f>'0048'!L47</f>
        <v>500000</v>
      </c>
      <c r="I37" s="541">
        <f>'0048'!$M$47</f>
        <v>1400000</v>
      </c>
      <c r="J37" s="541"/>
      <c r="K37" s="541">
        <f>'0048'!$N$47</f>
        <v>0</v>
      </c>
      <c r="L37" s="541">
        <v>0</v>
      </c>
      <c r="M37" s="542">
        <v>0</v>
      </c>
      <c r="N37" s="542">
        <v>0</v>
      </c>
      <c r="O37" s="542">
        <v>0</v>
      </c>
      <c r="P37" s="542">
        <v>0</v>
      </c>
      <c r="Q37" s="542">
        <v>44345.898004434595</v>
      </c>
      <c r="R37" s="542">
        <v>86860.67486556212</v>
      </c>
      <c r="S37" s="541">
        <v>0</v>
      </c>
      <c r="T37" s="541">
        <f t="shared" si="8"/>
        <v>1900000</v>
      </c>
      <c r="U37" s="541">
        <f t="shared" si="9"/>
        <v>131206.57286999671</v>
      </c>
      <c r="V37" s="542">
        <f t="shared" si="5"/>
        <v>2031206.5728699965</v>
      </c>
      <c r="W37" s="543"/>
      <c r="X37" s="490">
        <v>100000</v>
      </c>
      <c r="Y37" s="492">
        <v>100000</v>
      </c>
      <c r="Z37" s="112">
        <f t="shared" si="6"/>
        <v>80996.447524231393</v>
      </c>
      <c r="AA37" s="112">
        <f t="shared" si="7"/>
        <v>11504.092322807477</v>
      </c>
      <c r="AB37" s="112">
        <v>86860.67486556212</v>
      </c>
      <c r="AC37" s="121">
        <f t="shared" si="1"/>
        <v>0</v>
      </c>
      <c r="AD37" s="112">
        <f t="shared" si="2"/>
        <v>83152.539322538432</v>
      </c>
      <c r="AE37" s="112">
        <v>42459.775401324645</v>
      </c>
      <c r="AF37" s="112">
        <f t="shared" si="3"/>
        <v>83152.539322538432</v>
      </c>
      <c r="AG37" s="3"/>
      <c r="AH37" s="3"/>
      <c r="AI37" s="3"/>
    </row>
    <row r="38" spans="1:36" s="152" customFormat="1" ht="13.5" customHeight="1" thickBot="1">
      <c r="A38" s="474">
        <v>28</v>
      </c>
      <c r="B38" s="486" t="s">
        <v>159</v>
      </c>
      <c r="C38" s="580">
        <v>2018020028</v>
      </c>
      <c r="D38" s="561">
        <v>41666</v>
      </c>
      <c r="E38" s="300" t="s">
        <v>511</v>
      </c>
      <c r="F38" s="366" t="s">
        <v>513</v>
      </c>
      <c r="G38" s="150" t="s">
        <v>370</v>
      </c>
      <c r="H38" s="150">
        <f>'0049'!L50</f>
        <v>500000</v>
      </c>
      <c r="I38" s="150">
        <f>'0049'!$M$50</f>
        <v>1100000</v>
      </c>
      <c r="J38" s="150"/>
      <c r="K38" s="150">
        <f>'0049'!$N$50</f>
        <v>0</v>
      </c>
      <c r="L38" s="150">
        <v>0</v>
      </c>
      <c r="M38" s="151">
        <v>0</v>
      </c>
      <c r="N38" s="151">
        <v>35852.875879201012</v>
      </c>
      <c r="O38" s="151">
        <v>44202.096482723988</v>
      </c>
      <c r="P38" s="151">
        <v>57716.072547226991</v>
      </c>
      <c r="Q38" s="151">
        <v>158017.809694511</v>
      </c>
      <c r="R38" s="151">
        <v>92651.38652326625</v>
      </c>
      <c r="S38" s="150">
        <v>100000</v>
      </c>
      <c r="T38" s="150">
        <f t="shared" si="8"/>
        <v>1600000</v>
      </c>
      <c r="U38" s="150">
        <f t="shared" si="9"/>
        <v>488440.24112692924</v>
      </c>
      <c r="V38" s="542">
        <f t="shared" si="5"/>
        <v>1888440.2411269292</v>
      </c>
      <c r="W38" s="389"/>
      <c r="X38" s="422">
        <v>100000</v>
      </c>
      <c r="Y38" s="422">
        <v>100000</v>
      </c>
      <c r="Z38" s="112">
        <f t="shared" si="6"/>
        <v>68207.534757247486</v>
      </c>
      <c r="AA38" s="112">
        <f t="shared" si="7"/>
        <v>9687.6566928905086</v>
      </c>
      <c r="AB38" s="112">
        <v>92651.38652326625</v>
      </c>
      <c r="AC38" s="112">
        <f t="shared" si="1"/>
        <v>0</v>
      </c>
      <c r="AD38" s="112">
        <f t="shared" si="2"/>
        <v>77308.041193809811</v>
      </c>
      <c r="AE38" s="112">
        <v>44202.096482723988</v>
      </c>
      <c r="AF38" s="112">
        <f t="shared" si="3"/>
        <v>77308.041193809811</v>
      </c>
      <c r="AG38" s="494"/>
      <c r="AH38" s="496"/>
      <c r="AI38" s="383"/>
      <c r="AJ38" s="2"/>
    </row>
    <row r="39" spans="1:36" ht="15" customHeight="1" thickBot="1">
      <c r="A39" s="474">
        <v>29</v>
      </c>
      <c r="B39" s="486" t="s">
        <v>160</v>
      </c>
      <c r="C39" s="580">
        <v>2018020029</v>
      </c>
      <c r="D39" s="561">
        <v>41680</v>
      </c>
      <c r="E39" s="300" t="s">
        <v>519</v>
      </c>
      <c r="F39" s="367"/>
      <c r="G39" s="150" t="s">
        <v>520</v>
      </c>
      <c r="H39" s="150">
        <f>'0050'!L81</f>
        <v>500000</v>
      </c>
      <c r="I39" s="150">
        <f>'0050'!$M$81</f>
        <v>2245000</v>
      </c>
      <c r="J39" s="150"/>
      <c r="K39" s="150">
        <f>'0050'!$N$81</f>
        <v>5000</v>
      </c>
      <c r="L39" s="150">
        <v>0</v>
      </c>
      <c r="M39" s="151">
        <v>0</v>
      </c>
      <c r="N39" s="151">
        <v>32568.682623587749</v>
      </c>
      <c r="O39" s="151">
        <v>44074.290998197517</v>
      </c>
      <c r="P39" s="151">
        <v>67331.122361320333</v>
      </c>
      <c r="Q39" s="151">
        <v>197028.4564628434</v>
      </c>
      <c r="R39" s="151">
        <v>132896.83254431002</v>
      </c>
      <c r="S39" s="150">
        <v>0</v>
      </c>
      <c r="T39" s="150">
        <f t="shared" si="8"/>
        <v>2745000</v>
      </c>
      <c r="U39" s="150">
        <f t="shared" si="9"/>
        <v>478899.38499025902</v>
      </c>
      <c r="V39" s="542">
        <f t="shared" si="5"/>
        <v>3223899.3849902591</v>
      </c>
      <c r="W39" s="389"/>
      <c r="X39" s="422">
        <v>100000</v>
      </c>
      <c r="Y39" s="422">
        <v>100000</v>
      </c>
      <c r="Z39" s="112">
        <f t="shared" si="6"/>
        <v>117018.55181790273</v>
      </c>
      <c r="AA39" s="112">
        <f t="shared" si="7"/>
        <v>16620.386013740277</v>
      </c>
      <c r="AB39" s="112">
        <v>132896.83254431002</v>
      </c>
      <c r="AC39" s="112">
        <f t="shared" si="1"/>
        <v>0</v>
      </c>
      <c r="AD39" s="112">
        <f t="shared" si="2"/>
        <v>131978.41320665501</v>
      </c>
      <c r="AE39" s="112">
        <v>44074.290998197517</v>
      </c>
      <c r="AF39" s="112">
        <f t="shared" si="3"/>
        <v>131978.41320665501</v>
      </c>
      <c r="AG39" s="3"/>
      <c r="AH39" s="3"/>
      <c r="AI39" s="3"/>
    </row>
    <row r="40" spans="1:36" s="152" customFormat="1" ht="13.5" customHeight="1" thickBot="1">
      <c r="A40" s="474">
        <v>31</v>
      </c>
      <c r="B40" s="486" t="s">
        <v>162</v>
      </c>
      <c r="C40" s="580">
        <v>2018020030</v>
      </c>
      <c r="D40" s="561">
        <v>41831</v>
      </c>
      <c r="E40" s="300" t="s">
        <v>541</v>
      </c>
      <c r="F40" s="366" t="s">
        <v>544</v>
      </c>
      <c r="G40" s="150" t="str">
        <f>'0052'!D3</f>
        <v>Jl. MERAH DELIMA E-8</v>
      </c>
      <c r="H40" s="150">
        <f>'0052'!L52</f>
        <v>500000</v>
      </c>
      <c r="I40" s="150">
        <f>'0052'!$M$52</f>
        <v>2400000</v>
      </c>
      <c r="J40" s="150"/>
      <c r="K40" s="150">
        <f>'0052'!$N$52</f>
        <v>1630000</v>
      </c>
      <c r="L40" s="150">
        <v>0</v>
      </c>
      <c r="M40" s="151">
        <v>0</v>
      </c>
      <c r="N40" s="151">
        <v>23686.314635336545</v>
      </c>
      <c r="O40" s="151">
        <v>51511.697892284988</v>
      </c>
      <c r="P40" s="151">
        <v>81933.344027604282</v>
      </c>
      <c r="Q40" s="151">
        <v>187646.14901223182</v>
      </c>
      <c r="R40" s="151">
        <v>121604.94481178695</v>
      </c>
      <c r="S40" s="150">
        <v>0</v>
      </c>
      <c r="T40" s="150">
        <f t="shared" ref="T40:T65" si="11">H40+I40</f>
        <v>2900000</v>
      </c>
      <c r="U40" s="150">
        <f t="shared" ref="U40:U65" si="12">SUM(K40:S40)</f>
        <v>2096382.4503792445</v>
      </c>
      <c r="V40" s="542">
        <f t="shared" si="5"/>
        <v>4996382.4503792441</v>
      </c>
      <c r="W40" s="389"/>
      <c r="X40" s="422">
        <v>100000</v>
      </c>
      <c r="Y40" s="422">
        <v>100000</v>
      </c>
      <c r="Z40" s="112">
        <f t="shared" si="6"/>
        <v>123626.15674751108</v>
      </c>
      <c r="AA40" s="112">
        <f t="shared" si="7"/>
        <v>17558.877755864043</v>
      </c>
      <c r="AB40" s="112">
        <v>121604.94481178695</v>
      </c>
      <c r="AC40" s="112">
        <f t="shared" si="1"/>
        <v>0</v>
      </c>
      <c r="AD40" s="112">
        <f t="shared" si="2"/>
        <v>204539.45636291121</v>
      </c>
      <c r="AE40" s="112">
        <v>51511.697892284988</v>
      </c>
      <c r="AF40" s="112">
        <f t="shared" ref="AF40:AF54" si="13">AC40+AD40</f>
        <v>204539.45636291121</v>
      </c>
      <c r="AG40" s="3"/>
      <c r="AH40" s="3"/>
      <c r="AI40" s="3"/>
      <c r="AJ40" s="2"/>
    </row>
    <row r="41" spans="1:36" ht="13.5" customHeight="1" thickBot="1">
      <c r="A41" s="518">
        <v>32</v>
      </c>
      <c r="B41" s="534" t="s">
        <v>163</v>
      </c>
      <c r="C41" s="580">
        <v>2018020031</v>
      </c>
      <c r="D41" s="526">
        <v>41885</v>
      </c>
      <c r="E41" s="520" t="s">
        <v>840</v>
      </c>
      <c r="F41" s="521" t="s">
        <v>969</v>
      </c>
      <c r="G41" s="522" t="str">
        <f>'0053'!D3</f>
        <v>JL. R SUDIBYO NO.30</v>
      </c>
      <c r="H41" s="522">
        <f>'0053'!L51</f>
        <v>500000</v>
      </c>
      <c r="I41" s="522">
        <f>'0053'!M51</f>
        <v>50000</v>
      </c>
      <c r="J41" s="522"/>
      <c r="K41" s="522">
        <f>'0053'!$N$51</f>
        <v>0</v>
      </c>
      <c r="L41" s="522">
        <v>0</v>
      </c>
      <c r="M41" s="523">
        <v>0</v>
      </c>
      <c r="N41" s="523">
        <v>0</v>
      </c>
      <c r="O41" s="523">
        <v>0</v>
      </c>
      <c r="P41" s="523">
        <v>0</v>
      </c>
      <c r="Q41" s="523">
        <v>54318.62208248816</v>
      </c>
      <c r="R41" s="523">
        <v>31848.914117372769</v>
      </c>
      <c r="S41" s="522">
        <v>0</v>
      </c>
      <c r="T41" s="522">
        <f t="shared" si="11"/>
        <v>550000</v>
      </c>
      <c r="U41" s="522">
        <f t="shared" si="12"/>
        <v>86167.53619986093</v>
      </c>
      <c r="V41" s="542">
        <f t="shared" si="5"/>
        <v>636167.53619986097</v>
      </c>
      <c r="W41" s="524"/>
      <c r="X41" s="422">
        <v>100000</v>
      </c>
      <c r="Y41" s="422">
        <v>100000</v>
      </c>
      <c r="Z41" s="112">
        <f t="shared" si="6"/>
        <v>23446.340072803821</v>
      </c>
      <c r="AA41" s="112">
        <f t="shared" si="7"/>
        <v>3330.1319881811119</v>
      </c>
      <c r="AB41" s="112">
        <v>31848.914117372769</v>
      </c>
      <c r="AC41" s="121">
        <f t="shared" si="1"/>
        <v>0</v>
      </c>
      <c r="AD41" s="121">
        <f t="shared" si="2"/>
        <v>26043.114854063162</v>
      </c>
      <c r="AE41" s="121">
        <v>422092.25508133118</v>
      </c>
      <c r="AF41" s="121">
        <f t="shared" si="13"/>
        <v>26043.114854063162</v>
      </c>
      <c r="AG41" s="512"/>
      <c r="AH41" s="513"/>
      <c r="AI41" s="514"/>
      <c r="AJ41" s="152"/>
    </row>
    <row r="42" spans="1:36" s="472" customFormat="1" ht="15" customHeight="1" thickBot="1">
      <c r="A42" s="474">
        <v>33</v>
      </c>
      <c r="B42" s="486" t="s">
        <v>164</v>
      </c>
      <c r="C42" s="580">
        <v>2018020032</v>
      </c>
      <c r="D42" s="561">
        <v>41985</v>
      </c>
      <c r="E42" s="300" t="s">
        <v>560</v>
      </c>
      <c r="F42" s="366" t="str">
        <f>'0054'!H3</f>
        <v>082318881870</v>
      </c>
      <c r="G42" s="150" t="str">
        <f>'0054'!D3</f>
        <v>Blok Karang Anyar 008/004</v>
      </c>
      <c r="H42" s="150">
        <f>'0054'!L53</f>
        <v>500000</v>
      </c>
      <c r="I42" s="150">
        <f>'0054'!$M$53</f>
        <v>2600000</v>
      </c>
      <c r="J42" s="150"/>
      <c r="K42" s="150">
        <f>'0054'!$N$53</f>
        <v>0</v>
      </c>
      <c r="L42" s="150">
        <v>0</v>
      </c>
      <c r="M42" s="151">
        <v>0</v>
      </c>
      <c r="N42" s="151">
        <v>1973.8595529447118</v>
      </c>
      <c r="O42" s="151">
        <v>38992.149558845507</v>
      </c>
      <c r="P42" s="151">
        <v>60695.209874147891</v>
      </c>
      <c r="Q42" s="151">
        <v>192584.20556518529</v>
      </c>
      <c r="R42" s="151">
        <v>167930.63807342006</v>
      </c>
      <c r="S42" s="150">
        <v>0</v>
      </c>
      <c r="T42" s="150">
        <f t="shared" si="11"/>
        <v>3100000</v>
      </c>
      <c r="U42" s="150">
        <f t="shared" si="12"/>
        <v>462176.06262454344</v>
      </c>
      <c r="V42" s="542">
        <f t="shared" si="5"/>
        <v>3562176.0626245434</v>
      </c>
      <c r="W42" s="389"/>
      <c r="X42" s="422">
        <v>100000</v>
      </c>
      <c r="Y42" s="422">
        <v>100000</v>
      </c>
      <c r="Z42" s="112">
        <f t="shared" si="6"/>
        <v>132152.09859216702</v>
      </c>
      <c r="AA42" s="112">
        <f t="shared" si="7"/>
        <v>18769.83484247536</v>
      </c>
      <c r="AB42" s="112">
        <v>167930.63807342006</v>
      </c>
      <c r="AC42" s="112">
        <f t="shared" si="1"/>
        <v>0</v>
      </c>
      <c r="AD42" s="112">
        <f t="shared" si="2"/>
        <v>145826.61806901827</v>
      </c>
      <c r="AE42" s="112">
        <v>38992.149558845507</v>
      </c>
      <c r="AF42" s="112">
        <f t="shared" si="13"/>
        <v>145826.61806901827</v>
      </c>
      <c r="AG42" s="3"/>
      <c r="AH42" s="3"/>
      <c r="AI42" s="3"/>
      <c r="AJ42" s="2"/>
    </row>
    <row r="43" spans="1:36" s="472" customFormat="1" ht="15" customHeight="1" thickBot="1">
      <c r="A43" s="474">
        <v>34</v>
      </c>
      <c r="B43" s="486" t="s">
        <v>165</v>
      </c>
      <c r="C43" s="580">
        <v>2018020033</v>
      </c>
      <c r="D43" s="561">
        <v>42004</v>
      </c>
      <c r="E43" s="300" t="s">
        <v>569</v>
      </c>
      <c r="F43" s="366" t="str">
        <f>'0055'!H3</f>
        <v>081322326975</v>
      </c>
      <c r="G43" s="150" t="str">
        <f>'0055'!D3</f>
        <v>Blok Karang baru blok bumi patra</v>
      </c>
      <c r="H43" s="150">
        <f>'0055'!L53</f>
        <v>500000</v>
      </c>
      <c r="I43" s="150">
        <f>'0055'!$M$53</f>
        <v>1150000</v>
      </c>
      <c r="J43" s="150"/>
      <c r="K43" s="150">
        <f>'0055'!$N$53</f>
        <v>0</v>
      </c>
      <c r="L43" s="150">
        <v>0</v>
      </c>
      <c r="M43" s="151">
        <v>0</v>
      </c>
      <c r="N43" s="151">
        <v>0</v>
      </c>
      <c r="O43" s="151">
        <v>9728.8340377070363</v>
      </c>
      <c r="P43" s="151">
        <v>21262.433963963074</v>
      </c>
      <c r="Q43" s="151">
        <v>49380.565529534695</v>
      </c>
      <c r="R43" s="151">
        <v>95546.742352118294</v>
      </c>
      <c r="S43" s="150">
        <v>25000</v>
      </c>
      <c r="T43" s="150">
        <f t="shared" si="11"/>
        <v>1650000</v>
      </c>
      <c r="U43" s="150">
        <f t="shared" si="12"/>
        <v>200918.57588332309</v>
      </c>
      <c r="V43" s="542">
        <f t="shared" si="5"/>
        <v>1800918.5758833229</v>
      </c>
      <c r="W43" s="389"/>
      <c r="X43" s="422">
        <v>100000</v>
      </c>
      <c r="Y43" s="422">
        <v>100000</v>
      </c>
      <c r="Z43" s="112">
        <f t="shared" si="6"/>
        <v>70339.020218411475</v>
      </c>
      <c r="AA43" s="112">
        <f>(T43/$W$65)*(12/12)*$AA$9*100%</f>
        <v>9990.3959645433351</v>
      </c>
      <c r="AB43" s="112">
        <v>95546.742352118294</v>
      </c>
      <c r="AC43" s="112">
        <f t="shared" si="1"/>
        <v>0</v>
      </c>
      <c r="AD43" s="112">
        <f t="shared" si="2"/>
        <v>73725.122150543786</v>
      </c>
      <c r="AE43" s="112">
        <v>9728.8340377070363</v>
      </c>
      <c r="AF43" s="112">
        <f t="shared" si="13"/>
        <v>73725.122150543786</v>
      </c>
      <c r="AG43" s="3"/>
      <c r="AH43" s="3"/>
      <c r="AI43" s="3"/>
      <c r="AJ43" s="2"/>
    </row>
    <row r="44" spans="1:36" ht="15" customHeight="1" thickBot="1">
      <c r="A44" s="518">
        <v>35</v>
      </c>
      <c r="B44" s="519" t="s">
        <v>167</v>
      </c>
      <c r="C44" s="580">
        <v>2018020034</v>
      </c>
      <c r="D44" s="526">
        <v>42033</v>
      </c>
      <c r="E44" s="520" t="s">
        <v>601</v>
      </c>
      <c r="F44" s="521" t="str">
        <f>'0057'!H3</f>
        <v>08974984767</v>
      </c>
      <c r="G44" s="522" t="str">
        <f>'0057'!D3</f>
        <v>BLOK KETOK II</v>
      </c>
      <c r="H44" s="522">
        <f>'0057'!L63</f>
        <v>500000</v>
      </c>
      <c r="I44" s="522">
        <f>'0057'!$M$63</f>
        <v>1575000</v>
      </c>
      <c r="J44" s="522"/>
      <c r="K44" s="522">
        <f>'0057'!$N$63</f>
        <v>0</v>
      </c>
      <c r="L44" s="522">
        <v>0</v>
      </c>
      <c r="M44" s="523">
        <v>0</v>
      </c>
      <c r="N44" s="523">
        <v>0</v>
      </c>
      <c r="O44" s="523">
        <v>26915.695023764409</v>
      </c>
      <c r="P44" s="523">
        <v>44112.378579519995</v>
      </c>
      <c r="Q44" s="523">
        <v>76539.876570778768</v>
      </c>
      <c r="R44" s="523">
        <v>114366.55523965677</v>
      </c>
      <c r="S44" s="522">
        <v>0</v>
      </c>
      <c r="T44" s="522">
        <f t="shared" si="11"/>
        <v>2075000</v>
      </c>
      <c r="U44" s="522">
        <f t="shared" si="12"/>
        <v>261934.50541371992</v>
      </c>
      <c r="V44" s="542">
        <f t="shared" si="5"/>
        <v>2336934.5054137204</v>
      </c>
      <c r="W44" s="524"/>
      <c r="X44" s="422">
        <v>100000</v>
      </c>
      <c r="Y44" s="422">
        <v>100000</v>
      </c>
      <c r="Z44" s="112">
        <f t="shared" si="6"/>
        <v>88456.646638305348</v>
      </c>
      <c r="AA44" s="112">
        <f t="shared" si="7"/>
        <v>12563.679773592376</v>
      </c>
      <c r="AB44" s="112">
        <v>114366.55523965677</v>
      </c>
      <c r="AC44" s="112">
        <f t="shared" si="1"/>
        <v>0</v>
      </c>
      <c r="AD44" s="10"/>
      <c r="AE44" s="112">
        <v>26915.695023764409</v>
      </c>
      <c r="AF44" s="112">
        <f t="shared" si="13"/>
        <v>0</v>
      </c>
      <c r="AG44" s="3"/>
      <c r="AH44" s="3"/>
      <c r="AI44" s="3"/>
    </row>
    <row r="45" spans="1:36" ht="15" customHeight="1" thickBot="1">
      <c r="A45" s="518">
        <v>36</v>
      </c>
      <c r="B45" s="528" t="s">
        <v>169</v>
      </c>
      <c r="C45" s="580">
        <v>2018020035</v>
      </c>
      <c r="D45" s="526">
        <v>43273</v>
      </c>
      <c r="E45" s="520" t="s">
        <v>891</v>
      </c>
      <c r="F45" s="521"/>
      <c r="G45" s="522"/>
      <c r="H45" s="522">
        <f>'0059'!L30</f>
        <v>500000</v>
      </c>
      <c r="I45" s="522">
        <f>'0059'!$M$30</f>
        <v>500000</v>
      </c>
      <c r="J45" s="522"/>
      <c r="K45" s="522">
        <f>'0059'!$N$30</f>
        <v>0</v>
      </c>
      <c r="L45" s="522">
        <v>0</v>
      </c>
      <c r="M45" s="523">
        <v>0</v>
      </c>
      <c r="N45" s="523">
        <v>0</v>
      </c>
      <c r="O45" s="523">
        <v>0</v>
      </c>
      <c r="P45" s="523">
        <v>0</v>
      </c>
      <c r="Q45" s="523">
        <v>28508.077288565095</v>
      </c>
      <c r="R45" s="523">
        <v>57907.116577041408</v>
      </c>
      <c r="S45" s="522">
        <v>0</v>
      </c>
      <c r="T45" s="522">
        <f t="shared" si="11"/>
        <v>1000000</v>
      </c>
      <c r="U45" s="522">
        <f t="shared" si="12"/>
        <v>86415.193865606503</v>
      </c>
      <c r="V45" s="542">
        <f t="shared" si="5"/>
        <v>1086415.1938656066</v>
      </c>
      <c r="W45" s="524"/>
      <c r="X45" s="422">
        <v>100000</v>
      </c>
      <c r="Y45" s="422">
        <v>100000</v>
      </c>
      <c r="Z45" s="112">
        <f t="shared" si="6"/>
        <v>42629.709223279679</v>
      </c>
      <c r="AA45" s="112">
        <f t="shared" si="7"/>
        <v>6054.7854330565669</v>
      </c>
      <c r="AB45" s="112">
        <v>57907.116577041408</v>
      </c>
      <c r="AC45" s="112">
        <f t="shared" si="1"/>
        <v>0</v>
      </c>
      <c r="AD45" s="10"/>
      <c r="AE45" s="112">
        <v>0</v>
      </c>
      <c r="AF45" s="112">
        <f t="shared" si="13"/>
        <v>0</v>
      </c>
      <c r="AG45" s="3"/>
      <c r="AH45" s="3"/>
      <c r="AI45" s="3"/>
    </row>
    <row r="46" spans="1:36" ht="15" customHeight="1" thickBot="1">
      <c r="A46" s="538">
        <v>37</v>
      </c>
      <c r="B46" s="538" t="s">
        <v>170</v>
      </c>
      <c r="C46" s="580">
        <v>2018020036</v>
      </c>
      <c r="D46" s="589">
        <v>42053</v>
      </c>
      <c r="E46" s="539" t="s">
        <v>615</v>
      </c>
      <c r="F46" s="544" t="str">
        <f>'0060'!$H$3</f>
        <v>087718821963</v>
      </c>
      <c r="G46" s="541" t="str">
        <f>'0060'!$D$3</f>
        <v>DUSUN II SUKADEDEL GG KIBUBAT</v>
      </c>
      <c r="H46" s="541">
        <f>'0060'!L51</f>
        <v>500000</v>
      </c>
      <c r="I46" s="541">
        <f>'0060'!$M$51</f>
        <v>425000</v>
      </c>
      <c r="J46" s="541"/>
      <c r="K46" s="541">
        <f>'0060'!$N$51</f>
        <v>0</v>
      </c>
      <c r="L46" s="541">
        <v>0</v>
      </c>
      <c r="M46" s="542">
        <v>0</v>
      </c>
      <c r="N46" s="542">
        <v>0</v>
      </c>
      <c r="O46" s="542">
        <v>35400.8481470919</v>
      </c>
      <c r="P46" s="542">
        <v>56754.796262983167</v>
      </c>
      <c r="Q46" s="542">
        <v>91354.046229639163</v>
      </c>
      <c r="R46" s="542">
        <v>53564.082833763299</v>
      </c>
      <c r="S46" s="541">
        <v>0</v>
      </c>
      <c r="T46" s="541">
        <f t="shared" si="11"/>
        <v>925000</v>
      </c>
      <c r="U46" s="541">
        <f t="shared" si="12"/>
        <v>237073.77347347754</v>
      </c>
      <c r="V46" s="542">
        <f t="shared" si="5"/>
        <v>1162073.7734734775</v>
      </c>
      <c r="W46" s="543"/>
      <c r="X46" s="422">
        <v>100000</v>
      </c>
      <c r="Y46" s="422">
        <v>100000</v>
      </c>
      <c r="Z46" s="112">
        <f t="shared" si="6"/>
        <v>39432.481031533702</v>
      </c>
      <c r="AA46" s="112">
        <f t="shared" si="7"/>
        <v>5600.6765255773253</v>
      </c>
      <c r="AB46" s="112">
        <v>53564.082833763299</v>
      </c>
      <c r="AC46" s="112">
        <f t="shared" si="1"/>
        <v>0</v>
      </c>
      <c r="AD46" s="10"/>
      <c r="AE46" s="112">
        <v>35400.8481470919</v>
      </c>
      <c r="AF46" s="112">
        <f t="shared" si="13"/>
        <v>0</v>
      </c>
      <c r="AG46" s="3"/>
      <c r="AH46" s="3"/>
      <c r="AI46" s="3"/>
    </row>
    <row r="47" spans="1:36" s="168" customFormat="1" ht="15" customHeight="1" thickBot="1">
      <c r="A47" s="474">
        <v>38</v>
      </c>
      <c r="B47" s="486" t="s">
        <v>172</v>
      </c>
      <c r="C47" s="580">
        <v>2018020037</v>
      </c>
      <c r="D47" s="561">
        <v>42055</v>
      </c>
      <c r="E47" s="300" t="s">
        <v>621</v>
      </c>
      <c r="F47" s="366">
        <f>'0062'!$H$3</f>
        <v>0</v>
      </c>
      <c r="G47" s="150">
        <f>'0062'!$D$3</f>
        <v>0</v>
      </c>
      <c r="H47" s="150">
        <f>'0062'!L69</f>
        <v>500000</v>
      </c>
      <c r="I47" s="150">
        <f>'0062'!$M$69</f>
        <v>675000</v>
      </c>
      <c r="J47" s="150"/>
      <c r="K47" s="150">
        <f>'0062'!$N$69</f>
        <v>125000</v>
      </c>
      <c r="L47" s="150">
        <v>0</v>
      </c>
      <c r="M47" s="151">
        <v>0</v>
      </c>
      <c r="N47" s="151">
        <v>0</v>
      </c>
      <c r="O47" s="151">
        <v>15628.46807831482</v>
      </c>
      <c r="P47" s="151">
        <v>39647.552502415158</v>
      </c>
      <c r="Q47" s="151">
        <v>116044.32899440653</v>
      </c>
      <c r="R47" s="151">
        <v>68040.861978023648</v>
      </c>
      <c r="S47" s="150">
        <v>5000</v>
      </c>
      <c r="T47" s="150">
        <f t="shared" si="11"/>
        <v>1175000</v>
      </c>
      <c r="U47" s="150">
        <f t="shared" si="12"/>
        <v>369361.21155316022</v>
      </c>
      <c r="V47" s="542">
        <f t="shared" si="5"/>
        <v>1534361.2115531601</v>
      </c>
      <c r="W47" s="484"/>
      <c r="X47" s="422">
        <v>100000</v>
      </c>
      <c r="Y47" s="422">
        <v>100000</v>
      </c>
      <c r="Z47" s="112">
        <f t="shared" si="6"/>
        <v>50089.908337353627</v>
      </c>
      <c r="AA47" s="112">
        <f t="shared" si="7"/>
        <v>7114.3728838414663</v>
      </c>
      <c r="AB47" s="112">
        <v>68040.861978023648</v>
      </c>
      <c r="AC47" s="112">
        <f t="shared" si="1"/>
        <v>0</v>
      </c>
      <c r="AD47" s="10"/>
      <c r="AE47" s="112">
        <v>15628.46807831482</v>
      </c>
      <c r="AF47" s="112">
        <f t="shared" si="13"/>
        <v>0</v>
      </c>
      <c r="AG47" s="356">
        <v>42349</v>
      </c>
      <c r="AH47" s="324" t="s">
        <v>659</v>
      </c>
      <c r="AI47" s="325"/>
      <c r="AJ47" s="326">
        <v>25000</v>
      </c>
    </row>
    <row r="48" spans="1:36" s="152" customFormat="1" ht="15" customHeight="1" thickBot="1">
      <c r="A48" s="474">
        <v>39</v>
      </c>
      <c r="B48" s="486" t="s">
        <v>175</v>
      </c>
      <c r="C48" s="580">
        <v>2018020038</v>
      </c>
      <c r="D48" s="561">
        <v>42115</v>
      </c>
      <c r="E48" s="300" t="s">
        <v>625</v>
      </c>
      <c r="F48" s="366">
        <f>'0065'!$H$3</f>
        <v>0</v>
      </c>
      <c r="G48" s="150" t="str">
        <f>'0065'!$D$3</f>
        <v>BLOK KEPOLO</v>
      </c>
      <c r="H48" s="150">
        <f>'0065'!$L$60</f>
        <v>500000</v>
      </c>
      <c r="I48" s="150">
        <f>'0065'!$M$60</f>
        <v>1100000</v>
      </c>
      <c r="J48" s="150"/>
      <c r="K48" s="150">
        <f>'0065'!$N$60</f>
        <v>150000</v>
      </c>
      <c r="L48" s="150">
        <v>0</v>
      </c>
      <c r="M48" s="151">
        <v>0</v>
      </c>
      <c r="N48" s="151">
        <v>0</v>
      </c>
      <c r="O48" s="151">
        <v>5556.7886500674904</v>
      </c>
      <c r="P48" s="151">
        <v>24482.056009568332</v>
      </c>
      <c r="Q48" s="151">
        <v>138265.58348269714</v>
      </c>
      <c r="R48" s="151">
        <v>92651.38652326625</v>
      </c>
      <c r="S48" s="150">
        <v>5000</v>
      </c>
      <c r="T48" s="150">
        <f t="shared" si="11"/>
        <v>1600000</v>
      </c>
      <c r="U48" s="150">
        <f t="shared" si="12"/>
        <v>415955.8146655992</v>
      </c>
      <c r="V48" s="542">
        <f t="shared" si="5"/>
        <v>2005955.8146655993</v>
      </c>
      <c r="W48" s="484"/>
      <c r="X48" s="422">
        <v>100000</v>
      </c>
      <c r="Y48" s="422">
        <v>100000</v>
      </c>
      <c r="Z48" s="112">
        <f t="shared" si="6"/>
        <v>68207.534757247486</v>
      </c>
      <c r="AA48" s="112">
        <f t="shared" si="7"/>
        <v>9687.6566928905086</v>
      </c>
      <c r="AB48" s="112">
        <v>92651.38652326625</v>
      </c>
      <c r="AC48" s="112">
        <f t="shared" si="1"/>
        <v>0</v>
      </c>
      <c r="AD48" s="10"/>
      <c r="AE48" s="112">
        <v>5556.7886500674904</v>
      </c>
      <c r="AF48" s="112">
        <f t="shared" si="13"/>
        <v>0</v>
      </c>
      <c r="AG48" s="319">
        <v>42349</v>
      </c>
      <c r="AH48" s="144" t="s">
        <v>675</v>
      </c>
      <c r="AI48" s="145"/>
      <c r="AJ48" s="326">
        <v>50000</v>
      </c>
    </row>
    <row r="49" spans="1:36" ht="15" customHeight="1" thickBot="1">
      <c r="A49" s="474">
        <v>40</v>
      </c>
      <c r="B49" s="486" t="s">
        <v>177</v>
      </c>
      <c r="C49" s="580">
        <v>2018020039</v>
      </c>
      <c r="D49" s="561">
        <v>42166</v>
      </c>
      <c r="E49" s="300" t="s">
        <v>639</v>
      </c>
      <c r="F49" s="366">
        <f>'0067'!$H$3</f>
        <v>8.2306766687000002E-2</v>
      </c>
      <c r="G49" s="150" t="str">
        <f>'0067'!$D$3</f>
        <v>TUGU - SLIYEG</v>
      </c>
      <c r="H49" s="150">
        <f>'0067'!$L$52</f>
        <v>500000</v>
      </c>
      <c r="I49" s="150">
        <f>'0067'!$M$52</f>
        <v>2375000</v>
      </c>
      <c r="J49" s="150"/>
      <c r="K49" s="150">
        <f>'0067'!$N$52</f>
        <v>0</v>
      </c>
      <c r="L49" s="150">
        <v>0</v>
      </c>
      <c r="M49" s="151">
        <v>0</v>
      </c>
      <c r="N49" s="151">
        <v>0</v>
      </c>
      <c r="O49" s="151">
        <v>12786.928427712124</v>
      </c>
      <c r="P49" s="151">
        <v>45866.827955176515</v>
      </c>
      <c r="Q49" s="151">
        <v>199991.2903946155</v>
      </c>
      <c r="R49" s="151">
        <v>117261.91106850882</v>
      </c>
      <c r="S49" s="150">
        <v>0</v>
      </c>
      <c r="T49" s="150">
        <f t="shared" si="11"/>
        <v>2875000</v>
      </c>
      <c r="U49" s="150">
        <f t="shared" si="12"/>
        <v>375906.95784601296</v>
      </c>
      <c r="V49" s="542">
        <f t="shared" si="5"/>
        <v>3250906.9578460129</v>
      </c>
      <c r="W49" s="484"/>
      <c r="X49" s="422">
        <v>100000</v>
      </c>
      <c r="Y49" s="422">
        <v>100000</v>
      </c>
      <c r="Z49" s="112">
        <f t="shared" si="6"/>
        <v>122560.41401692909</v>
      </c>
      <c r="AA49" s="112">
        <f t="shared" si="7"/>
        <v>17407.50812003763</v>
      </c>
      <c r="AB49" s="112">
        <v>117261.91106850882</v>
      </c>
      <c r="AC49" s="112">
        <f t="shared" si="1"/>
        <v>0</v>
      </c>
      <c r="AD49" s="10"/>
      <c r="AE49" s="112">
        <v>12786.928427712124</v>
      </c>
      <c r="AF49" s="112">
        <f t="shared" si="13"/>
        <v>0</v>
      </c>
      <c r="AG49" s="3"/>
      <c r="AH49" s="3"/>
      <c r="AI49" s="3"/>
    </row>
    <row r="50" spans="1:36" ht="13.5" customHeight="1" thickBot="1">
      <c r="A50" s="518">
        <v>41</v>
      </c>
      <c r="B50" s="519" t="s">
        <v>178</v>
      </c>
      <c r="C50" s="580">
        <v>2018020040</v>
      </c>
      <c r="D50" s="526">
        <v>42190</v>
      </c>
      <c r="E50" s="520" t="s">
        <v>828</v>
      </c>
      <c r="F50" s="525" t="s">
        <v>980</v>
      </c>
      <c r="G50" s="522" t="str">
        <f>'0068'!$D$3</f>
        <v>TERUSAN -SINDANG</v>
      </c>
      <c r="H50" s="522">
        <f>'0068'!L48</f>
        <v>500000</v>
      </c>
      <c r="I50" s="522">
        <f>'0068'!M48</f>
        <v>1350000</v>
      </c>
      <c r="J50" s="522"/>
      <c r="K50" s="522">
        <f>'0068'!N48</f>
        <v>0</v>
      </c>
      <c r="L50" s="522">
        <v>0</v>
      </c>
      <c r="M50" s="523">
        <v>0</v>
      </c>
      <c r="N50" s="523">
        <v>0</v>
      </c>
      <c r="O50" s="523">
        <v>0</v>
      </c>
      <c r="P50" s="523">
        <v>0</v>
      </c>
      <c r="Q50" s="523">
        <v>54318.62208248816</v>
      </c>
      <c r="R50" s="523">
        <v>49221.04909048519</v>
      </c>
      <c r="S50" s="522">
        <v>0</v>
      </c>
      <c r="T50" s="522">
        <f t="shared" si="11"/>
        <v>1850000</v>
      </c>
      <c r="U50" s="522">
        <f t="shared" si="12"/>
        <v>103539.67117297335</v>
      </c>
      <c r="V50" s="542">
        <f t="shared" si="5"/>
        <v>1953539.6711729732</v>
      </c>
      <c r="W50" s="527"/>
      <c r="X50" s="422">
        <v>100000</v>
      </c>
      <c r="Y50" s="422">
        <v>100000</v>
      </c>
      <c r="Z50" s="112">
        <f t="shared" si="6"/>
        <v>78864.962063067404</v>
      </c>
      <c r="AA50" s="112">
        <f t="shared" si="7"/>
        <v>11201.353051154651</v>
      </c>
      <c r="AB50" s="112">
        <v>49221.04909048519</v>
      </c>
      <c r="AC50" s="120">
        <f t="shared" si="1"/>
        <v>0</v>
      </c>
      <c r="AD50" s="119"/>
      <c r="AE50" s="120">
        <v>2762.6079936415085</v>
      </c>
      <c r="AF50" s="120">
        <f t="shared" si="13"/>
        <v>0</v>
      </c>
      <c r="AG50" s="509"/>
      <c r="AH50" s="510"/>
      <c r="AI50" s="511"/>
      <c r="AJ50" s="168"/>
    </row>
    <row r="51" spans="1:36" s="152" customFormat="1" ht="13.5" customHeight="1" thickBot="1">
      <c r="A51" s="518">
        <v>42</v>
      </c>
      <c r="B51" s="518" t="s">
        <v>182</v>
      </c>
      <c r="C51" s="580">
        <v>2018020041</v>
      </c>
      <c r="D51" s="526">
        <v>42317</v>
      </c>
      <c r="E51" s="520" t="s">
        <v>664</v>
      </c>
      <c r="F51" s="521" t="s">
        <v>979</v>
      </c>
      <c r="G51" s="522" t="str">
        <f>'0072'!$D$3</f>
        <v>TOKO MAS VINA</v>
      </c>
      <c r="H51" s="522">
        <f>'0072'!$L$28</f>
        <v>400000</v>
      </c>
      <c r="I51" s="522">
        <f>'0072'!$M$28</f>
        <v>0</v>
      </c>
      <c r="J51" s="522"/>
      <c r="K51" s="522">
        <f>'0072'!$N$28</f>
        <v>0</v>
      </c>
      <c r="L51" s="522">
        <v>0</v>
      </c>
      <c r="M51" s="523">
        <v>0</v>
      </c>
      <c r="N51" s="523">
        <v>0</v>
      </c>
      <c r="O51" s="523">
        <v>3157.2662784474383</v>
      </c>
      <c r="P51" s="523">
        <v>24609.244453303807</v>
      </c>
      <c r="Q51" s="523">
        <v>39504.45242362775</v>
      </c>
      <c r="R51" s="523">
        <v>23162.846630816563</v>
      </c>
      <c r="S51" s="522">
        <v>0</v>
      </c>
      <c r="T51" s="522">
        <f t="shared" si="11"/>
        <v>400000</v>
      </c>
      <c r="U51" s="522">
        <f t="shared" si="12"/>
        <v>90433.809786195561</v>
      </c>
      <c r="V51" s="542">
        <f t="shared" si="5"/>
        <v>490433.80978619558</v>
      </c>
      <c r="W51" s="524"/>
      <c r="X51" s="422">
        <v>100000</v>
      </c>
      <c r="Y51" s="422">
        <v>100000</v>
      </c>
      <c r="Z51" s="112">
        <f t="shared" si="6"/>
        <v>17051.883689311871</v>
      </c>
      <c r="AA51" s="112">
        <f t="shared" si="7"/>
        <v>2421.9141732226271</v>
      </c>
      <c r="AB51" s="112">
        <v>23162.846630816563</v>
      </c>
      <c r="AC51" s="112">
        <f t="shared" si="1"/>
        <v>0</v>
      </c>
      <c r="AD51" s="10"/>
      <c r="AE51" s="112">
        <v>3157.2662784474383</v>
      </c>
      <c r="AF51" s="112">
        <f t="shared" si="13"/>
        <v>0</v>
      </c>
      <c r="AG51" s="2"/>
      <c r="AH51" s="2"/>
      <c r="AI51" s="2"/>
      <c r="AJ51" s="2"/>
    </row>
    <row r="52" spans="1:36" ht="15" customHeight="1" thickBot="1">
      <c r="A52" s="518">
        <v>43</v>
      </c>
      <c r="B52" s="518" t="s">
        <v>183</v>
      </c>
      <c r="C52" s="580">
        <v>2018020042</v>
      </c>
      <c r="D52" s="526">
        <v>42317</v>
      </c>
      <c r="E52" s="520" t="s">
        <v>666</v>
      </c>
      <c r="F52" s="521" t="s">
        <v>979</v>
      </c>
      <c r="G52" s="522" t="str">
        <f>'0073'!$D$3</f>
        <v>TOKO MAS VINA</v>
      </c>
      <c r="H52" s="522">
        <f>'0073'!$L$28</f>
        <v>400000</v>
      </c>
      <c r="I52" s="522">
        <f>'0073'!$M$28</f>
        <v>0</v>
      </c>
      <c r="J52" s="522"/>
      <c r="K52" s="522">
        <f>'0073'!$N$28</f>
        <v>0</v>
      </c>
      <c r="L52" s="522">
        <v>0</v>
      </c>
      <c r="M52" s="523">
        <v>0</v>
      </c>
      <c r="N52" s="523">
        <v>0</v>
      </c>
      <c r="O52" s="523">
        <v>3157.2662784474383</v>
      </c>
      <c r="P52" s="523">
        <v>24609.244453303807</v>
      </c>
      <c r="Q52" s="523">
        <v>39504.45242362775</v>
      </c>
      <c r="R52" s="523">
        <v>23162.846630816563</v>
      </c>
      <c r="S52" s="522">
        <v>0</v>
      </c>
      <c r="T52" s="522">
        <f t="shared" si="11"/>
        <v>400000</v>
      </c>
      <c r="U52" s="522">
        <f t="shared" si="12"/>
        <v>90433.809786195561</v>
      </c>
      <c r="V52" s="542">
        <f t="shared" si="5"/>
        <v>490433.80978619558</v>
      </c>
      <c r="W52" s="529"/>
      <c r="X52" s="422">
        <v>100000</v>
      </c>
      <c r="Y52" s="422">
        <v>100000</v>
      </c>
      <c r="Z52" s="112">
        <f t="shared" si="6"/>
        <v>17051.883689311871</v>
      </c>
      <c r="AA52" s="112">
        <f t="shared" si="7"/>
        <v>2421.9141732226271</v>
      </c>
      <c r="AB52" s="112">
        <v>23162.846630816563</v>
      </c>
      <c r="AC52" s="112">
        <f t="shared" si="1"/>
        <v>0</v>
      </c>
      <c r="AD52" s="10"/>
      <c r="AE52" s="112">
        <v>3157.2662784474383</v>
      </c>
      <c r="AF52" s="112">
        <f t="shared" si="13"/>
        <v>0</v>
      </c>
      <c r="AG52" s="3"/>
      <c r="AH52" s="3"/>
      <c r="AI52" s="3"/>
    </row>
    <row r="53" spans="1:36" ht="15" customHeight="1" thickBot="1">
      <c r="A53" s="518">
        <v>44</v>
      </c>
      <c r="B53" s="536" t="s">
        <v>189</v>
      </c>
      <c r="C53" s="580">
        <v>2018020043</v>
      </c>
      <c r="D53" s="526">
        <v>42787</v>
      </c>
      <c r="E53" s="520" t="s">
        <v>742</v>
      </c>
      <c r="F53" s="521" t="s">
        <v>978</v>
      </c>
      <c r="G53" s="522" t="str">
        <f>'0079'!$D$3</f>
        <v>DS. DERMAYU RT 03/01</v>
      </c>
      <c r="H53" s="522">
        <f>'0079'!$L$48</f>
        <v>500000</v>
      </c>
      <c r="I53" s="522">
        <f>'0079'!$M$48</f>
        <v>50000</v>
      </c>
      <c r="J53" s="522"/>
      <c r="K53" s="522">
        <f>'0079'!$N$48</f>
        <v>0</v>
      </c>
      <c r="L53" s="522">
        <v>0</v>
      </c>
      <c r="M53" s="523">
        <v>0</v>
      </c>
      <c r="N53" s="523">
        <v>0</v>
      </c>
      <c r="O53" s="523">
        <v>0</v>
      </c>
      <c r="P53" s="523">
        <v>0</v>
      </c>
      <c r="Q53" s="523">
        <v>54318.62208248816</v>
      </c>
      <c r="R53" s="523">
        <v>31848.914117372769</v>
      </c>
      <c r="S53" s="522">
        <v>0</v>
      </c>
      <c r="T53" s="522">
        <f t="shared" si="11"/>
        <v>550000</v>
      </c>
      <c r="U53" s="522">
        <f t="shared" si="12"/>
        <v>86167.53619986093</v>
      </c>
      <c r="V53" s="542">
        <f t="shared" si="5"/>
        <v>636167.53619986097</v>
      </c>
      <c r="W53" s="529"/>
      <c r="X53" s="422">
        <v>100000</v>
      </c>
      <c r="Y53" s="422">
        <v>100000</v>
      </c>
      <c r="Z53" s="112">
        <f t="shared" si="6"/>
        <v>23446.340072803821</v>
      </c>
      <c r="AA53" s="112">
        <f t="shared" si="7"/>
        <v>3330.1319881811119</v>
      </c>
      <c r="AB53" s="112">
        <v>31848.914117372769</v>
      </c>
      <c r="AC53" s="10"/>
      <c r="AD53" s="10"/>
      <c r="AE53" s="112">
        <v>0</v>
      </c>
      <c r="AF53" s="112">
        <f t="shared" si="13"/>
        <v>0</v>
      </c>
      <c r="AG53" s="3"/>
      <c r="AH53" s="3"/>
      <c r="AI53" s="3"/>
    </row>
    <row r="54" spans="1:36" s="152" customFormat="1" ht="15" customHeight="1" thickBot="1">
      <c r="A54" s="474">
        <v>45</v>
      </c>
      <c r="B54" s="486" t="s">
        <v>190</v>
      </c>
      <c r="C54" s="580">
        <v>2018020044</v>
      </c>
      <c r="D54" s="592">
        <v>42874</v>
      </c>
      <c r="E54" s="300" t="s">
        <v>750</v>
      </c>
      <c r="F54" s="366" t="str">
        <f>'0080'!$H$3</f>
        <v>085321890972</v>
      </c>
      <c r="G54" s="150" t="str">
        <f>'0080'!$D$3</f>
        <v>PERUM JANGKAR MAS BLOK E NO 34</v>
      </c>
      <c r="H54" s="150">
        <f>'0080'!$L$64</f>
        <v>500000</v>
      </c>
      <c r="I54" s="150">
        <f>'0080'!$M$64</f>
        <v>2000000</v>
      </c>
      <c r="J54" s="150"/>
      <c r="K54" s="150">
        <f>'0080'!$N$64</f>
        <v>1350000</v>
      </c>
      <c r="L54" s="150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138265.58348269714</v>
      </c>
      <c r="R54" s="151">
        <v>110023.52149637866</v>
      </c>
      <c r="S54" s="150">
        <v>0</v>
      </c>
      <c r="T54" s="150">
        <f t="shared" si="11"/>
        <v>2500000</v>
      </c>
      <c r="U54" s="150">
        <f t="shared" si="12"/>
        <v>1598289.1049790757</v>
      </c>
      <c r="V54" s="542">
        <f t="shared" si="5"/>
        <v>4098289.104979076</v>
      </c>
      <c r="W54" s="484"/>
      <c r="X54" s="422">
        <v>100000</v>
      </c>
      <c r="Y54" s="501">
        <v>100000</v>
      </c>
      <c r="Z54" s="112">
        <f t="shared" si="6"/>
        <v>106574.27305819921</v>
      </c>
      <c r="AA54" s="112">
        <f t="shared" si="7"/>
        <v>15136.963582641418</v>
      </c>
      <c r="AB54" s="112">
        <v>110023.52149637866</v>
      </c>
      <c r="AC54" s="10"/>
      <c r="AD54" s="10"/>
      <c r="AE54" s="10"/>
      <c r="AF54" s="112">
        <f t="shared" si="13"/>
        <v>0</v>
      </c>
      <c r="AG54" s="2"/>
      <c r="AH54" s="2"/>
      <c r="AI54" s="2"/>
      <c r="AJ54" s="2"/>
    </row>
    <row r="55" spans="1:36" ht="15" customHeight="1" thickBot="1">
      <c r="A55" s="518">
        <v>46</v>
      </c>
      <c r="B55" s="519" t="s">
        <v>191</v>
      </c>
      <c r="C55" s="580">
        <v>2018020045</v>
      </c>
      <c r="D55" s="526">
        <v>42116</v>
      </c>
      <c r="E55" s="520" t="s">
        <v>769</v>
      </c>
      <c r="F55" s="521">
        <f>'0065'!$H$3</f>
        <v>0</v>
      </c>
      <c r="G55" s="522" t="str">
        <f>'0065'!$D$3</f>
        <v>BLOK KEPOLO</v>
      </c>
      <c r="H55" s="522">
        <f>'0081'!$L$51</f>
        <v>500000</v>
      </c>
      <c r="I55" s="522">
        <f>'0081'!$M$51</f>
        <v>500000</v>
      </c>
      <c r="J55" s="522"/>
      <c r="K55" s="522">
        <f>'0081'!$N$51</f>
        <v>450000</v>
      </c>
      <c r="L55" s="522">
        <v>0</v>
      </c>
      <c r="M55" s="523">
        <v>0</v>
      </c>
      <c r="N55" s="523">
        <v>0</v>
      </c>
      <c r="O55" s="523">
        <v>0</v>
      </c>
      <c r="P55" s="523">
        <v>0</v>
      </c>
      <c r="Q55" s="523">
        <v>74070.848294302035</v>
      </c>
      <c r="R55" s="523">
        <v>52116.404919337256</v>
      </c>
      <c r="S55" s="522">
        <v>0</v>
      </c>
      <c r="T55" s="522">
        <f t="shared" si="11"/>
        <v>1000000</v>
      </c>
      <c r="U55" s="522">
        <f t="shared" si="12"/>
        <v>576187.25321363925</v>
      </c>
      <c r="V55" s="542">
        <f t="shared" si="5"/>
        <v>1576187.2532136394</v>
      </c>
      <c r="W55" s="524"/>
      <c r="X55" s="422">
        <v>100000</v>
      </c>
      <c r="Y55" s="501">
        <v>100000</v>
      </c>
      <c r="Z55" s="112">
        <f t="shared" si="6"/>
        <v>42629.709223279679</v>
      </c>
      <c r="AA55" s="112">
        <f t="shared" si="7"/>
        <v>6054.7854330565669</v>
      </c>
      <c r="AB55" s="112">
        <v>52116.404919337256</v>
      </c>
      <c r="AC55" s="112"/>
      <c r="AD55" s="10"/>
      <c r="AE55" s="112"/>
      <c r="AF55" s="112"/>
      <c r="AG55" s="319"/>
      <c r="AH55" s="324"/>
      <c r="AI55" s="325"/>
      <c r="AJ55" s="326"/>
    </row>
    <row r="56" spans="1:36" ht="15" customHeight="1" thickBot="1">
      <c r="A56" s="518">
        <v>47</v>
      </c>
      <c r="B56" s="546" t="s">
        <v>192</v>
      </c>
      <c r="C56" s="580">
        <v>2018020046</v>
      </c>
      <c r="D56" s="526">
        <v>43397</v>
      </c>
      <c r="E56" s="520" t="str">
        <f>'0082'!D1</f>
        <v>DANINGSIH</v>
      </c>
      <c r="F56" s="525" t="s">
        <v>936</v>
      </c>
      <c r="G56" s="522" t="str">
        <f>'0082'!D3</f>
        <v>JL. Yos Sudarso 8B PAOMAN</v>
      </c>
      <c r="H56" s="522">
        <f>'0082'!L53</f>
        <v>500000</v>
      </c>
      <c r="I56" s="522">
        <f>'0082'!M53</f>
        <v>1200000</v>
      </c>
      <c r="J56" s="522"/>
      <c r="K56" s="522">
        <f>'0082'!N53</f>
        <v>2515000</v>
      </c>
      <c r="L56" s="523">
        <v>0</v>
      </c>
      <c r="M56" s="523">
        <v>0</v>
      </c>
      <c r="N56" s="523">
        <v>0</v>
      </c>
      <c r="O56" s="523">
        <v>0</v>
      </c>
      <c r="P56" s="523">
        <v>0</v>
      </c>
      <c r="Q56" s="523">
        <v>10294.583465315172</v>
      </c>
      <c r="R56" s="523">
        <v>63697.828234745539</v>
      </c>
      <c r="S56" s="522">
        <v>0</v>
      </c>
      <c r="T56" s="522">
        <f t="shared" si="11"/>
        <v>1700000</v>
      </c>
      <c r="U56" s="522">
        <f t="shared" si="12"/>
        <v>2588992.4117000611</v>
      </c>
      <c r="V56" s="542">
        <f t="shared" si="5"/>
        <v>4288992.4117000606</v>
      </c>
      <c r="W56" s="527"/>
      <c r="X56" s="422">
        <v>100000</v>
      </c>
      <c r="Y56" s="501">
        <v>100000</v>
      </c>
      <c r="Z56" s="112">
        <f t="shared" si="6"/>
        <v>72470.50567957545</v>
      </c>
      <c r="AA56" s="112">
        <f t="shared" si="7"/>
        <v>10293.135236196164</v>
      </c>
      <c r="AB56" s="112">
        <v>63697.828234745539</v>
      </c>
      <c r="AC56" s="112">
        <f t="shared" ref="AC56:AC63" si="14">(V56/$V$181)*(12/12)*$AC$9*100%</f>
        <v>0</v>
      </c>
      <c r="AD56" s="112">
        <f>(V56/$W$181)*(12/12)*$AD$9*100%</f>
        <v>175580.66960370375</v>
      </c>
      <c r="AE56" s="112">
        <v>43716.008111386705</v>
      </c>
      <c r="AF56" s="112">
        <f t="shared" ref="AF56:AF65" si="15">AC56+AD56</f>
        <v>175580.66960370375</v>
      </c>
      <c r="AG56" s="508" t="s">
        <v>683</v>
      </c>
      <c r="AH56" s="508"/>
      <c r="AI56" s="377" t="e">
        <f>#REF!*30%</f>
        <v>#REF!</v>
      </c>
    </row>
    <row r="57" spans="1:36" ht="15" customHeight="1" thickBot="1">
      <c r="A57" s="518">
        <v>48</v>
      </c>
      <c r="B57" s="535" t="s">
        <v>196</v>
      </c>
      <c r="C57" s="580">
        <v>2018020047</v>
      </c>
      <c r="D57" s="526">
        <v>43440</v>
      </c>
      <c r="E57" s="520" t="str">
        <f>'0086'!$D$1</f>
        <v>KAMAL</v>
      </c>
      <c r="F57" s="521" t="s">
        <v>935</v>
      </c>
      <c r="G57" s="522" t="str">
        <f>'0086'!$D$3</f>
        <v>INDRAMYU</v>
      </c>
      <c r="H57" s="522">
        <f>'0086'!$L$50</f>
        <v>500000</v>
      </c>
      <c r="I57" s="522">
        <f>'0086'!M50</f>
        <v>500000</v>
      </c>
      <c r="J57" s="522"/>
      <c r="K57" s="522">
        <f>'0086'!$N$50</f>
        <v>0</v>
      </c>
      <c r="L57" s="522">
        <v>0</v>
      </c>
      <c r="M57" s="523">
        <v>0</v>
      </c>
      <c r="N57" s="523">
        <v>0</v>
      </c>
      <c r="O57" s="523">
        <v>0</v>
      </c>
      <c r="P57" s="523">
        <v>0</v>
      </c>
      <c r="Q57" s="523">
        <v>3959.4551789673742</v>
      </c>
      <c r="R57" s="523">
        <v>55011.760748189328</v>
      </c>
      <c r="S57" s="522">
        <v>0</v>
      </c>
      <c r="T57" s="522">
        <f t="shared" si="11"/>
        <v>1000000</v>
      </c>
      <c r="U57" s="522">
        <f t="shared" si="12"/>
        <v>58971.2159271567</v>
      </c>
      <c r="V57" s="542">
        <f t="shared" si="5"/>
        <v>1058971.2159271566</v>
      </c>
      <c r="W57" s="524"/>
      <c r="X57" s="422">
        <v>100000</v>
      </c>
      <c r="Y57" s="501">
        <v>100000</v>
      </c>
      <c r="Z57" s="112">
        <f t="shared" si="6"/>
        <v>42629.709223279679</v>
      </c>
      <c r="AA57" s="112">
        <f t="shared" si="7"/>
        <v>6054.7854330565669</v>
      </c>
      <c r="AB57" s="112">
        <v>55011.760748189328</v>
      </c>
      <c r="AC57" s="112">
        <f t="shared" si="14"/>
        <v>0</v>
      </c>
      <c r="AD57" s="10"/>
      <c r="AE57" s="112">
        <v>1136.6158602410776</v>
      </c>
      <c r="AF57" s="112">
        <f t="shared" si="15"/>
        <v>0</v>
      </c>
      <c r="AG57" s="319">
        <v>42349</v>
      </c>
      <c r="AH57" s="144" t="s">
        <v>658</v>
      </c>
      <c r="AI57" s="145"/>
      <c r="AJ57" s="326">
        <v>25000</v>
      </c>
    </row>
    <row r="58" spans="1:36" ht="15" customHeight="1" thickBot="1">
      <c r="A58" s="518">
        <v>49</v>
      </c>
      <c r="B58" s="537" t="s">
        <v>197</v>
      </c>
      <c r="C58" s="580">
        <v>2018020048</v>
      </c>
      <c r="D58" s="526">
        <f>'0087'!B15</f>
        <v>43440</v>
      </c>
      <c r="E58" s="520" t="str">
        <f>'0087'!D1</f>
        <v>ENDANG RUMIYANTI</v>
      </c>
      <c r="F58" s="525" t="s">
        <v>934</v>
      </c>
      <c r="G58" s="522" t="str">
        <f>'0087'!D3</f>
        <v>JL. MT Haryono 003/001 Dermayu</v>
      </c>
      <c r="H58" s="522">
        <f>'0087'!$L$50</f>
        <v>500000</v>
      </c>
      <c r="I58" s="522">
        <f>'0087'!$M$50</f>
        <v>300000</v>
      </c>
      <c r="J58" s="522"/>
      <c r="K58" s="522">
        <f>'0087'!$N$50</f>
        <v>300000</v>
      </c>
      <c r="L58" s="523">
        <v>0</v>
      </c>
      <c r="M58" s="523">
        <v>0</v>
      </c>
      <c r="N58" s="523">
        <v>0</v>
      </c>
      <c r="O58" s="523">
        <v>0</v>
      </c>
      <c r="P58" s="523">
        <v>0</v>
      </c>
      <c r="Q58" s="523">
        <v>3959.4551789673742</v>
      </c>
      <c r="R58" s="523">
        <v>46325.693261633125</v>
      </c>
      <c r="S58" s="522">
        <v>0</v>
      </c>
      <c r="T58" s="522">
        <f t="shared" si="11"/>
        <v>800000</v>
      </c>
      <c r="U58" s="522">
        <f t="shared" si="12"/>
        <v>350285.14844060049</v>
      </c>
      <c r="V58" s="542">
        <f t="shared" si="5"/>
        <v>1150285.1484406006</v>
      </c>
      <c r="W58" s="524"/>
      <c r="X58" s="610">
        <v>100000</v>
      </c>
      <c r="Y58" s="611">
        <v>100000</v>
      </c>
      <c r="Z58" s="112">
        <f t="shared" si="6"/>
        <v>34103.767378623743</v>
      </c>
      <c r="AA58" s="112">
        <f t="shared" si="7"/>
        <v>4843.8283464452543</v>
      </c>
      <c r="AB58" s="112">
        <v>46325.693261633125</v>
      </c>
      <c r="AC58" s="112">
        <f t="shared" si="14"/>
        <v>0</v>
      </c>
      <c r="AD58" s="112">
        <f>(V58/$W$181)*(12/12)*$AD$9*100%</f>
        <v>47089.809729539928</v>
      </c>
      <c r="AE58" s="112">
        <v>15507.833015975551</v>
      </c>
      <c r="AF58" s="112">
        <f t="shared" si="15"/>
        <v>47089.809729539928</v>
      </c>
      <c r="AH58" s="3"/>
      <c r="AI58" s="3"/>
    </row>
    <row r="59" spans="1:36" s="152" customFormat="1" ht="15" customHeight="1" thickBot="1">
      <c r="A59" s="518">
        <v>50</v>
      </c>
      <c r="B59" s="535" t="s">
        <v>198</v>
      </c>
      <c r="C59" s="580">
        <v>2018020049</v>
      </c>
      <c r="D59" s="526">
        <f>'0088'!B15</f>
        <v>43466</v>
      </c>
      <c r="E59" s="520" t="str">
        <f>'0088'!$D$1</f>
        <v>AWALUDIN</v>
      </c>
      <c r="F59" s="521" t="s">
        <v>983</v>
      </c>
      <c r="G59" s="522" t="str">
        <f>'0088'!$D$3</f>
        <v>Jl. IR JUANDA Simpang Tiga Singaraja</v>
      </c>
      <c r="H59" s="522">
        <f>'0088'!$L$48</f>
        <v>500000</v>
      </c>
      <c r="I59" s="522">
        <f>'0088'!$M$48</f>
        <v>700000</v>
      </c>
      <c r="J59" s="522"/>
      <c r="K59" s="522">
        <f>'0088'!$N$48</f>
        <v>0</v>
      </c>
      <c r="L59" s="522">
        <v>0</v>
      </c>
      <c r="M59" s="523">
        <v>0</v>
      </c>
      <c r="N59" s="523">
        <v>0</v>
      </c>
      <c r="O59" s="523">
        <v>0</v>
      </c>
      <c r="P59" s="523">
        <v>0</v>
      </c>
      <c r="Q59" s="523"/>
      <c r="R59" s="523">
        <v>55011.760748189328</v>
      </c>
      <c r="S59" s="522">
        <v>0</v>
      </c>
      <c r="T59" s="522">
        <f t="shared" si="11"/>
        <v>1200000</v>
      </c>
      <c r="U59" s="522">
        <f t="shared" si="12"/>
        <v>55011.760748189328</v>
      </c>
      <c r="V59" s="542">
        <f t="shared" si="5"/>
        <v>1255011.7607481894</v>
      </c>
      <c r="W59" s="524"/>
      <c r="X59" s="422">
        <v>100000</v>
      </c>
      <c r="Y59" s="501">
        <v>100000</v>
      </c>
      <c r="Z59" s="112">
        <f t="shared" si="6"/>
        <v>51155.651067935622</v>
      </c>
      <c r="AA59" s="112">
        <f t="shared" si="7"/>
        <v>7265.7425196678805</v>
      </c>
      <c r="AB59" s="112">
        <v>55011.760748189328</v>
      </c>
      <c r="AC59" s="121">
        <f t="shared" si="14"/>
        <v>0</v>
      </c>
      <c r="AD59" s="116"/>
      <c r="AE59" s="121">
        <v>0</v>
      </c>
      <c r="AF59" s="121">
        <f t="shared" si="15"/>
        <v>0</v>
      </c>
      <c r="AG59" s="118"/>
      <c r="AH59" s="118"/>
      <c r="AI59" s="118"/>
    </row>
    <row r="60" spans="1:36" ht="15" customHeight="1" thickBot="1">
      <c r="A60" s="518">
        <v>51</v>
      </c>
      <c r="B60" s="537" t="s">
        <v>199</v>
      </c>
      <c r="C60" s="580">
        <v>2018020050</v>
      </c>
      <c r="D60" s="526">
        <f>'0089'!B15</f>
        <v>43466</v>
      </c>
      <c r="E60" s="520" t="str">
        <f>'0089'!D1</f>
        <v>KUNTORINI</v>
      </c>
      <c r="F60" s="521" t="s">
        <v>981</v>
      </c>
      <c r="G60" s="522" t="str">
        <f>'0089'!$D$3</f>
        <v>JL. Alamanda Biru C.01</v>
      </c>
      <c r="H60" s="522">
        <f>'0089'!L67</f>
        <v>500000</v>
      </c>
      <c r="I60" s="522">
        <f>'0089'!$M$67</f>
        <v>1100000</v>
      </c>
      <c r="J60" s="522"/>
      <c r="K60" s="522">
        <f>'0089'!$N$67</f>
        <v>1400000</v>
      </c>
      <c r="L60" s="522">
        <v>0</v>
      </c>
      <c r="M60" s="523">
        <v>0</v>
      </c>
      <c r="N60" s="523">
        <v>0</v>
      </c>
      <c r="O60" s="523">
        <v>0</v>
      </c>
      <c r="P60" s="523">
        <v>0</v>
      </c>
      <c r="Q60" s="523"/>
      <c r="R60" s="523">
        <v>57907.116577041408</v>
      </c>
      <c r="S60" s="522">
        <v>0</v>
      </c>
      <c r="T60" s="522">
        <f t="shared" si="11"/>
        <v>1600000</v>
      </c>
      <c r="U60" s="522">
        <f t="shared" si="12"/>
        <v>1457907.1165770413</v>
      </c>
      <c r="V60" s="542">
        <f t="shared" si="5"/>
        <v>3057907.1165770413</v>
      </c>
      <c r="W60" s="524"/>
      <c r="X60" s="422">
        <v>100000</v>
      </c>
      <c r="Y60" s="422">
        <v>100000</v>
      </c>
      <c r="Z60" s="112">
        <f t="shared" si="6"/>
        <v>68207.534757247486</v>
      </c>
      <c r="AA60" s="112">
        <f t="shared" si="7"/>
        <v>9687.6566928905086</v>
      </c>
      <c r="AB60" s="112">
        <v>57907.116577041408</v>
      </c>
      <c r="AC60" s="112">
        <f t="shared" si="14"/>
        <v>0</v>
      </c>
      <c r="AD60" s="10"/>
      <c r="AE60" s="112">
        <v>7735.3023821962242</v>
      </c>
      <c r="AF60" s="112">
        <f t="shared" si="15"/>
        <v>0</v>
      </c>
      <c r="AG60" s="319">
        <v>42349</v>
      </c>
      <c r="AH60" s="324" t="s">
        <v>674</v>
      </c>
      <c r="AI60" s="325"/>
      <c r="AJ60" s="326">
        <v>50000</v>
      </c>
    </row>
    <row r="61" spans="1:36" ht="15" customHeight="1" thickBot="1">
      <c r="A61" s="518">
        <v>52</v>
      </c>
      <c r="B61" s="537" t="s">
        <v>200</v>
      </c>
      <c r="C61" s="580">
        <v>2018020051</v>
      </c>
      <c r="D61" s="526">
        <f>'0090'!B15</f>
        <v>43486</v>
      </c>
      <c r="E61" s="520" t="str">
        <f>'0090'!D1</f>
        <v>MOHAMMAD ABDAN SYAKURO</v>
      </c>
      <c r="F61" s="521" t="s">
        <v>982</v>
      </c>
      <c r="G61" s="522">
        <f>'0090'!$D$3</f>
        <v>0</v>
      </c>
      <c r="H61" s="522">
        <f>'0090'!L51</f>
        <v>500000</v>
      </c>
      <c r="I61" s="522">
        <f>'0090'!$M$51</f>
        <v>100000</v>
      </c>
      <c r="J61" s="522"/>
      <c r="K61" s="522">
        <f>'0090'!$N$51</f>
        <v>0</v>
      </c>
      <c r="L61" s="522">
        <v>0</v>
      </c>
      <c r="M61" s="523">
        <v>0</v>
      </c>
      <c r="N61" s="523">
        <v>0</v>
      </c>
      <c r="O61" s="523">
        <v>0</v>
      </c>
      <c r="P61" s="523">
        <v>0</v>
      </c>
      <c r="Q61" s="523"/>
      <c r="R61" s="523">
        <v>31848.914117372769</v>
      </c>
      <c r="S61" s="522">
        <v>0</v>
      </c>
      <c r="T61" s="522">
        <f t="shared" si="11"/>
        <v>600000</v>
      </c>
      <c r="U61" s="522">
        <f t="shared" si="12"/>
        <v>31848.914117372769</v>
      </c>
      <c r="V61" s="542">
        <f t="shared" si="5"/>
        <v>631848.91411737283</v>
      </c>
      <c r="W61" s="524"/>
      <c r="X61" s="422">
        <v>100000</v>
      </c>
      <c r="Y61" s="422">
        <v>100000</v>
      </c>
      <c r="Z61" s="112">
        <f t="shared" si="6"/>
        <v>25577.825533967811</v>
      </c>
      <c r="AA61" s="112">
        <f t="shared" si="7"/>
        <v>3632.8712598339403</v>
      </c>
      <c r="AB61" s="112">
        <v>31848.914117372769</v>
      </c>
      <c r="AC61" s="112">
        <f t="shared" si="14"/>
        <v>0</v>
      </c>
      <c r="AD61" s="10"/>
      <c r="AE61" s="112">
        <v>5367.352673360645</v>
      </c>
      <c r="AF61" s="112">
        <f t="shared" si="15"/>
        <v>0</v>
      </c>
      <c r="AG61" s="319">
        <v>42349</v>
      </c>
      <c r="AH61" s="144" t="s">
        <v>661</v>
      </c>
      <c r="AI61" s="145"/>
      <c r="AJ61" s="326">
        <v>50000</v>
      </c>
    </row>
    <row r="62" spans="1:36" ht="15" customHeight="1" thickBot="1">
      <c r="A62" s="518">
        <v>53</v>
      </c>
      <c r="B62" s="535" t="s">
        <v>201</v>
      </c>
      <c r="C62" s="580">
        <v>2018020052</v>
      </c>
      <c r="D62" s="526">
        <f>'0091'!B15</f>
        <v>43484</v>
      </c>
      <c r="E62" s="520" t="str">
        <f>'0091'!D1</f>
        <v>HERYANA RINALDI HIDAYAT</v>
      </c>
      <c r="F62" s="525" t="str">
        <f>'0091'!H3</f>
        <v>081325151533</v>
      </c>
      <c r="G62" s="522" t="str">
        <f>'0091'!D3</f>
        <v>Grand Royal Resident No. B-1 Indramayu</v>
      </c>
      <c r="H62" s="522">
        <f>'0091'!$L$50</f>
        <v>500000</v>
      </c>
      <c r="I62" s="522">
        <f>'0091'!$M$50</f>
        <v>600000</v>
      </c>
      <c r="J62" s="522"/>
      <c r="K62" s="522">
        <f>'0091'!$N$50</f>
        <v>0</v>
      </c>
      <c r="L62" s="522">
        <v>0</v>
      </c>
      <c r="M62" s="523">
        <v>0</v>
      </c>
      <c r="N62" s="523">
        <v>0</v>
      </c>
      <c r="O62" s="523">
        <v>0</v>
      </c>
      <c r="P62" s="523">
        <v>0</v>
      </c>
      <c r="Q62" s="523"/>
      <c r="R62" s="523">
        <v>63697.828234745539</v>
      </c>
      <c r="S62" s="522">
        <v>0</v>
      </c>
      <c r="T62" s="522">
        <f t="shared" si="11"/>
        <v>1100000</v>
      </c>
      <c r="U62" s="522">
        <f t="shared" si="12"/>
        <v>63697.828234745539</v>
      </c>
      <c r="V62" s="542">
        <f t="shared" si="5"/>
        <v>1163697.8282347457</v>
      </c>
      <c r="W62" s="524"/>
      <c r="X62" s="422">
        <v>100000</v>
      </c>
      <c r="Y62" s="422">
        <v>100000</v>
      </c>
      <c r="Z62" s="112">
        <f t="shared" si="6"/>
        <v>46892.680145607643</v>
      </c>
      <c r="AA62" s="112">
        <f>(T62/$W$65)*(12/12)*$AA$9*100%</f>
        <v>6660.2639763622237</v>
      </c>
      <c r="AB62" s="112">
        <v>63697.828234745539</v>
      </c>
      <c r="AC62" s="112">
        <f t="shared" si="14"/>
        <v>0</v>
      </c>
      <c r="AD62" s="112">
        <f>(V62/$W$181)*(12/12)*$AD$9*100%</f>
        <v>47638.891442301123</v>
      </c>
      <c r="AE62" s="112">
        <v>13270.429420056831</v>
      </c>
      <c r="AF62" s="112">
        <f t="shared" si="15"/>
        <v>47638.891442301123</v>
      </c>
      <c r="AG62" s="361" t="s">
        <v>583</v>
      </c>
      <c r="AH62" s="361"/>
      <c r="AI62" s="362">
        <v>525000</v>
      </c>
      <c r="AJ62" s="47"/>
    </row>
    <row r="63" spans="1:36" s="152" customFormat="1" ht="15" customHeight="1" thickBot="1">
      <c r="A63" s="600">
        <v>55</v>
      </c>
      <c r="B63" s="601" t="s">
        <v>144</v>
      </c>
      <c r="C63" s="602">
        <v>2018020053</v>
      </c>
      <c r="D63" s="603">
        <v>40845</v>
      </c>
      <c r="E63" s="604" t="s">
        <v>294</v>
      </c>
      <c r="F63" s="605" t="s">
        <v>314</v>
      </c>
      <c r="G63" s="606" t="s">
        <v>265</v>
      </c>
      <c r="H63" s="606"/>
      <c r="I63" s="606"/>
      <c r="J63" s="606"/>
      <c r="K63" s="606"/>
      <c r="L63" s="607"/>
      <c r="M63" s="607"/>
      <c r="N63" s="607"/>
      <c r="O63" s="607"/>
      <c r="P63" s="607"/>
      <c r="Q63" s="607"/>
      <c r="R63" s="607">
        <v>0</v>
      </c>
      <c r="S63" s="571"/>
      <c r="T63" s="606"/>
      <c r="U63" s="606"/>
      <c r="V63" s="542">
        <f t="shared" si="5"/>
        <v>0</v>
      </c>
      <c r="W63" s="524"/>
      <c r="X63" s="422">
        <v>100000</v>
      </c>
      <c r="Y63" s="422">
        <v>100000</v>
      </c>
      <c r="Z63" s="112">
        <f t="shared" si="6"/>
        <v>0</v>
      </c>
      <c r="AA63" s="112">
        <f t="shared" si="7"/>
        <v>0</v>
      </c>
      <c r="AB63" s="112">
        <v>0</v>
      </c>
      <c r="AC63" s="112">
        <f t="shared" si="14"/>
        <v>0</v>
      </c>
      <c r="AD63" s="112">
        <f>(V63/$W$181)*(12/12)*$AD$9*100%</f>
        <v>0</v>
      </c>
      <c r="AE63" s="112">
        <v>9720.739303461718</v>
      </c>
      <c r="AF63" s="112">
        <f t="shared" si="15"/>
        <v>0</v>
      </c>
      <c r="AG63" s="2"/>
      <c r="AH63" s="3"/>
      <c r="AI63" s="3"/>
      <c r="AJ63" s="2"/>
    </row>
    <row r="64" spans="1:36" ht="15" customHeight="1" thickBot="1">
      <c r="A64" s="518">
        <v>56</v>
      </c>
      <c r="B64" s="519" t="s">
        <v>188</v>
      </c>
      <c r="C64" s="580">
        <v>2018020054</v>
      </c>
      <c r="D64" s="526">
        <v>42787</v>
      </c>
      <c r="E64" s="520" t="str">
        <f>'0078'!$D$1</f>
        <v>CASTRA MIHARJA</v>
      </c>
      <c r="F64" s="521"/>
      <c r="G64" s="522" t="str">
        <f>'0078'!$D$3</f>
        <v>Jl. Krg Sawah 1 No. 2 RT03/04 Margadadi</v>
      </c>
      <c r="H64" s="522">
        <f>'0078'!$L$48</f>
        <v>500000</v>
      </c>
      <c r="I64" s="522">
        <f>'0078'!$M$48</f>
        <v>50000</v>
      </c>
      <c r="J64" s="522"/>
      <c r="K64" s="522">
        <f>'0078'!$N$48</f>
        <v>0</v>
      </c>
      <c r="L64" s="522">
        <v>0</v>
      </c>
      <c r="M64" s="523">
        <v>0</v>
      </c>
      <c r="N64" s="523">
        <v>0</v>
      </c>
      <c r="O64" s="523">
        <v>0</v>
      </c>
      <c r="P64" s="523">
        <v>0</v>
      </c>
      <c r="Q64" s="523">
        <v>74070.848294302035</v>
      </c>
      <c r="R64" s="523">
        <v>31848.914117372769</v>
      </c>
      <c r="S64" s="522">
        <v>0</v>
      </c>
      <c r="T64" s="522">
        <f t="shared" si="11"/>
        <v>550000</v>
      </c>
      <c r="U64" s="522">
        <f t="shared" si="12"/>
        <v>105919.7624116748</v>
      </c>
      <c r="V64" s="542">
        <f t="shared" si="5"/>
        <v>655919.76241167472</v>
      </c>
      <c r="W64" s="524"/>
      <c r="X64" s="422">
        <v>100000</v>
      </c>
      <c r="Y64" s="422">
        <v>100000</v>
      </c>
      <c r="Z64" s="112">
        <f t="shared" si="6"/>
        <v>23446.340072803821</v>
      </c>
      <c r="AA64" s="112">
        <f t="shared" si="7"/>
        <v>3330.1319881811119</v>
      </c>
      <c r="AB64" s="112">
        <v>31848.914117372769</v>
      </c>
      <c r="AC64" s="10"/>
      <c r="AD64" s="10"/>
      <c r="AE64" s="112">
        <v>0</v>
      </c>
      <c r="AF64" s="112">
        <f t="shared" si="15"/>
        <v>0</v>
      </c>
    </row>
    <row r="65" spans="1:36" ht="15" customHeight="1" thickBot="1">
      <c r="A65" s="518">
        <v>57</v>
      </c>
      <c r="B65" s="528" t="s">
        <v>202</v>
      </c>
      <c r="C65" s="580">
        <v>2018020055</v>
      </c>
      <c r="D65" s="526">
        <v>43494</v>
      </c>
      <c r="E65" s="520" t="str">
        <f>'0092'!D1</f>
        <v>WARNO</v>
      </c>
      <c r="F65" s="525" t="str">
        <f>'0092'!H3</f>
        <v>081912417122</v>
      </c>
      <c r="G65" s="522" t="str">
        <f>'0092'!D3</f>
        <v>JL. Letnan Sutejo No. 6/C Margadadi</v>
      </c>
      <c r="H65" s="522">
        <f>'0092'!$L$50</f>
        <v>500000</v>
      </c>
      <c r="I65" s="522">
        <f>'0092'!$M$50</f>
        <v>600000</v>
      </c>
      <c r="J65" s="522"/>
      <c r="K65" s="522">
        <f>'0092'!$N$50</f>
        <v>0</v>
      </c>
      <c r="L65" s="523">
        <v>0</v>
      </c>
      <c r="M65" s="523">
        <v>0</v>
      </c>
      <c r="N65" s="523">
        <v>0</v>
      </c>
      <c r="O65" s="523">
        <v>0</v>
      </c>
      <c r="P65" s="523">
        <v>0</v>
      </c>
      <c r="Q65" s="523"/>
      <c r="R65" s="523">
        <v>37639.625775076907</v>
      </c>
      <c r="S65" s="522">
        <v>0</v>
      </c>
      <c r="T65" s="522">
        <f t="shared" si="11"/>
        <v>1100000</v>
      </c>
      <c r="U65" s="522">
        <f t="shared" si="12"/>
        <v>37639.625775076907</v>
      </c>
      <c r="V65" s="542">
        <f t="shared" si="5"/>
        <v>1137639.6257750769</v>
      </c>
      <c r="W65" s="524">
        <f>SUM(T10:T65)</f>
        <v>84840000</v>
      </c>
      <c r="X65" s="422">
        <v>100000</v>
      </c>
      <c r="Y65" s="422">
        <v>100000</v>
      </c>
      <c r="Z65" s="306">
        <f t="shared" si="6"/>
        <v>46892.680145607643</v>
      </c>
      <c r="AA65" s="112">
        <f t="shared" si="7"/>
        <v>6660.2639763622237</v>
      </c>
      <c r="AB65" s="112">
        <v>37639.625775076907</v>
      </c>
      <c r="AC65" s="112">
        <f t="shared" ref="AC65:AC77" si="16">(V65/$V$181)*(12/12)*$AC$9*100%</f>
        <v>0</v>
      </c>
      <c r="AD65" s="112">
        <f t="shared" ref="AD65:AD71" si="17">(V65/$W$181)*(12/12)*$AD$9*100%</f>
        <v>46572.133519378156</v>
      </c>
      <c r="AE65" s="112">
        <v>13270.429420056831</v>
      </c>
      <c r="AF65" s="112">
        <f t="shared" si="15"/>
        <v>46572.133519378156</v>
      </c>
      <c r="AG65" s="361" t="s">
        <v>684</v>
      </c>
      <c r="AH65" s="361"/>
      <c r="AI65" s="362">
        <v>2100000</v>
      </c>
      <c r="AJ65" s="47"/>
    </row>
    <row r="66" spans="1:36" s="152" customFormat="1" ht="15" customHeight="1" thickBot="1">
      <c r="A66" s="518">
        <v>58</v>
      </c>
      <c r="B66" s="550" t="s">
        <v>203</v>
      </c>
      <c r="C66" s="580">
        <v>2018020056</v>
      </c>
      <c r="D66" s="561">
        <f>'0093'!B15</f>
        <v>43497</v>
      </c>
      <c r="E66" s="300" t="str">
        <f>'0093'!D1</f>
        <v>ZULFIKAR AMRI</v>
      </c>
      <c r="F66" s="551" t="str">
        <f>'0093'!H3</f>
        <v>087718852369</v>
      </c>
      <c r="G66" s="150" t="str">
        <f>'0093'!D3</f>
        <v>Jl.Bontang I no 42 Bumi Patra</v>
      </c>
      <c r="H66" s="150">
        <f>'0093'!$L$30</f>
        <v>500000</v>
      </c>
      <c r="I66" s="150">
        <f>'0093'!$M$30</f>
        <v>600000</v>
      </c>
      <c r="J66" s="150"/>
      <c r="K66" s="150">
        <f>'0093'!$N$30</f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/>
      <c r="R66" s="151">
        <v>54598.629602807639</v>
      </c>
      <c r="S66" s="150">
        <v>0</v>
      </c>
      <c r="T66" s="150">
        <f>H66+I66</f>
        <v>1100000</v>
      </c>
      <c r="U66" s="150">
        <f>SUM(K66:S66)</f>
        <v>54598.629602807639</v>
      </c>
      <c r="V66" s="542">
        <f t="shared" si="5"/>
        <v>1154598.6296028076</v>
      </c>
      <c r="W66" s="389"/>
      <c r="X66" s="422">
        <v>100000</v>
      </c>
      <c r="Y66" s="422">
        <v>100000</v>
      </c>
      <c r="Z66" s="112">
        <f>(T66/$T$180)*(11/12)*$Z$9*100%</f>
        <v>42984.956800140339</v>
      </c>
      <c r="AA66" s="116"/>
      <c r="AB66" s="112">
        <v>54598.629602807639</v>
      </c>
      <c r="AC66" s="112">
        <f t="shared" si="16"/>
        <v>0</v>
      </c>
      <c r="AD66" s="112">
        <f t="shared" si="17"/>
        <v>47266.392907611589</v>
      </c>
      <c r="AE66" s="112">
        <v>13270.429420056831</v>
      </c>
      <c r="AF66" s="112">
        <f>AC66+AD66</f>
        <v>47266.392907611589</v>
      </c>
      <c r="AG66" s="363" t="s">
        <v>728</v>
      </c>
      <c r="AH66" s="359"/>
      <c r="AI66" s="364" t="e">
        <f>SUM(AI39:AI97)</f>
        <v>#REF!</v>
      </c>
      <c r="AJ66" s="47"/>
    </row>
    <row r="67" spans="1:36" ht="15" customHeight="1" thickBot="1">
      <c r="A67" s="518">
        <v>59</v>
      </c>
      <c r="B67" s="550" t="s">
        <v>204</v>
      </c>
      <c r="C67" s="580">
        <v>2018020057</v>
      </c>
      <c r="D67" s="561">
        <v>43516</v>
      </c>
      <c r="E67" s="300" t="str">
        <f>'0094'!D1</f>
        <v>IMAS KOMALASARI</v>
      </c>
      <c r="F67" s="552" t="str">
        <f>'0094'!H3</f>
        <v>082218611002</v>
      </c>
      <c r="G67" s="552" t="str">
        <f>'0094'!D3</f>
        <v xml:space="preserve">JL. Cengkir V No. 15 GAU Singajaya </v>
      </c>
      <c r="H67" s="150">
        <f>'0094'!L43</f>
        <v>500000</v>
      </c>
      <c r="I67" s="150">
        <f>'0094'!M43</f>
        <v>250000</v>
      </c>
      <c r="J67" s="150"/>
      <c r="K67" s="150">
        <f>'0094'!$N$43</f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-2.2775329344949896E-11</v>
      </c>
      <c r="Q67" s="151"/>
      <c r="R67" s="151">
        <v>37226.338365550662</v>
      </c>
      <c r="S67" s="150">
        <v>0</v>
      </c>
      <c r="T67" s="150">
        <f>H67+I67</f>
        <v>750000</v>
      </c>
      <c r="U67" s="150">
        <f>SUM(K67:S67)</f>
        <v>37226.33836555064</v>
      </c>
      <c r="V67" s="542">
        <f t="shared" si="5"/>
        <v>787226.33836555062</v>
      </c>
      <c r="W67" s="553"/>
      <c r="X67" s="422">
        <v>100000</v>
      </c>
      <c r="Y67" s="422">
        <v>100000</v>
      </c>
      <c r="Z67" s="112">
        <f>(T67/$T$180)*(11/12)*$Z$9*100%</f>
        <v>29307.925091004778</v>
      </c>
      <c r="AA67" s="482"/>
      <c r="AB67" s="112">
        <v>37226.338365550662</v>
      </c>
      <c r="AC67" s="121">
        <f t="shared" si="16"/>
        <v>0</v>
      </c>
      <c r="AD67" s="121">
        <f t="shared" si="17"/>
        <v>32227.086073371538</v>
      </c>
      <c r="AE67" s="121">
        <v>10878.742633055281</v>
      </c>
      <c r="AF67" s="121">
        <f>AC67+AD67</f>
        <v>32227.086073371538</v>
      </c>
      <c r="AG67" s="145" t="s">
        <v>580</v>
      </c>
      <c r="AH67" s="325"/>
      <c r="AI67" s="350">
        <v>2100000</v>
      </c>
      <c r="AJ67" s="152"/>
    </row>
    <row r="68" spans="1:36" ht="15" customHeight="1" thickBot="1">
      <c r="A68" s="518">
        <v>60</v>
      </c>
      <c r="B68" s="550" t="s">
        <v>205</v>
      </c>
      <c r="C68" s="580">
        <v>2018020058</v>
      </c>
      <c r="D68" s="561">
        <v>43524</v>
      </c>
      <c r="E68" s="300" t="str">
        <f>'0095'!D1</f>
        <v>SADI RISWANTO</v>
      </c>
      <c r="F68" s="366" t="str">
        <f>'0095'!H3</f>
        <v>08974984767</v>
      </c>
      <c r="G68" s="150" t="str">
        <f>'0095'!D3</f>
        <v>Blok KETAPANG</v>
      </c>
      <c r="H68" s="150">
        <f>'0095'!L50</f>
        <v>500000</v>
      </c>
      <c r="I68" s="150">
        <f>'0095'!$M$50</f>
        <v>500000</v>
      </c>
      <c r="J68" s="150"/>
      <c r="K68" s="150">
        <f>'0095'!$N$50</f>
        <v>0</v>
      </c>
      <c r="L68" s="150">
        <v>0</v>
      </c>
      <c r="M68" s="151">
        <v>0</v>
      </c>
      <c r="N68" s="151">
        <v>0</v>
      </c>
      <c r="O68" s="151">
        <v>0</v>
      </c>
      <c r="P68" s="151">
        <v>0</v>
      </c>
      <c r="Q68" s="151"/>
      <c r="R68" s="151">
        <v>32262.826583477239</v>
      </c>
      <c r="S68" s="150">
        <v>0</v>
      </c>
      <c r="T68" s="150">
        <f t="shared" ref="T68" si="18">H68+I68</f>
        <v>1000000</v>
      </c>
      <c r="U68" s="150">
        <f t="shared" ref="U68" si="19">SUM(K68:S68)</f>
        <v>32262.826583477239</v>
      </c>
      <c r="V68" s="542">
        <f t="shared" si="5"/>
        <v>1032262.8265834772</v>
      </c>
      <c r="W68" s="388"/>
      <c r="X68" s="422">
        <v>100000</v>
      </c>
      <c r="Y68" s="422">
        <v>100000</v>
      </c>
      <c r="Z68" s="112">
        <f>(T68/$T$180)*(11/12)*$Z$9*100%</f>
        <v>39077.233454673042</v>
      </c>
      <c r="AA68" s="116"/>
      <c r="AB68" s="112">
        <v>32262.826583477239</v>
      </c>
      <c r="AC68" s="306">
        <f t="shared" si="16"/>
        <v>0</v>
      </c>
      <c r="AD68" s="112">
        <f t="shared" si="17"/>
        <v>42258.269752148437</v>
      </c>
      <c r="AE68" s="112">
        <v>9728.8340377070363</v>
      </c>
      <c r="AF68" s="112">
        <f t="shared" ref="AF68" si="20">AC68+AD68</f>
        <v>42258.269752148437</v>
      </c>
      <c r="AG68" s="3"/>
      <c r="AH68" s="3"/>
      <c r="AI68" s="3"/>
    </row>
    <row r="69" spans="1:36" s="560" customFormat="1" ht="15" customHeight="1" thickBot="1">
      <c r="A69" s="518">
        <v>61</v>
      </c>
      <c r="B69" s="550" t="s">
        <v>206</v>
      </c>
      <c r="C69" s="580">
        <v>2018020059</v>
      </c>
      <c r="D69" s="561">
        <v>43529</v>
      </c>
      <c r="E69" s="300" t="str">
        <f>'0096'!D1</f>
        <v>ACHMAD RIFA'I</v>
      </c>
      <c r="F69" s="551" t="str">
        <f>'0096'!H3</f>
        <v>081510377990</v>
      </c>
      <c r="G69" s="150" t="str">
        <f>'0096'!D3</f>
        <v>Blok Pasar Pabean Girang Kandang Haur</v>
      </c>
      <c r="H69" s="150">
        <f>'0096'!L40</f>
        <v>500000</v>
      </c>
      <c r="I69" s="150">
        <f>'0096'!M40</f>
        <v>800000</v>
      </c>
      <c r="J69" s="150"/>
      <c r="K69" s="150">
        <f>'0096'!N40</f>
        <v>0</v>
      </c>
      <c r="L69" s="151">
        <v>0</v>
      </c>
      <c r="M69" s="151">
        <v>0</v>
      </c>
      <c r="N69" s="151">
        <v>0</v>
      </c>
      <c r="O69" s="151">
        <v>0</v>
      </c>
      <c r="P69" s="151">
        <v>0</v>
      </c>
      <c r="Q69" s="151"/>
      <c r="R69" s="151">
        <v>42866.692663361384</v>
      </c>
      <c r="S69" s="150">
        <v>0</v>
      </c>
      <c r="T69" s="150">
        <f t="shared" ref="T69:T75" si="21">H69+I69</f>
        <v>1300000</v>
      </c>
      <c r="U69" s="150">
        <f t="shared" ref="U69:U75" si="22">SUM(K69:S69)</f>
        <v>42866.692663361384</v>
      </c>
      <c r="V69" s="542">
        <f t="shared" si="5"/>
        <v>1342866.6926633613</v>
      </c>
      <c r="W69" s="562"/>
      <c r="X69" s="563">
        <v>0</v>
      </c>
      <c r="Y69" s="564">
        <v>0</v>
      </c>
      <c r="Z69" s="112">
        <f>(T69/$T$180)*(10/12)*$Z$9*100%</f>
        <v>46182.184991886315</v>
      </c>
      <c r="AA69" s="119"/>
      <c r="AB69" s="112">
        <v>42866.692663361384</v>
      </c>
      <c r="AC69" s="557">
        <f t="shared" si="16"/>
        <v>0</v>
      </c>
      <c r="AD69" s="557">
        <f t="shared" si="17"/>
        <v>54973.618615679836</v>
      </c>
      <c r="AE69" s="557">
        <v>66615.216886475755</v>
      </c>
      <c r="AF69" s="557">
        <f t="shared" ref="AF69:AF75" si="23">AC69+AD69</f>
        <v>54973.618615679836</v>
      </c>
      <c r="AG69" s="558" t="s">
        <v>583</v>
      </c>
      <c r="AH69" s="558"/>
      <c r="AI69" s="559">
        <f>AI40*5%</f>
        <v>0</v>
      </c>
      <c r="AJ69" s="55" t="s">
        <v>595</v>
      </c>
    </row>
    <row r="70" spans="1:36" s="55" customFormat="1" ht="15" customHeight="1" thickBot="1">
      <c r="A70" s="518">
        <v>62</v>
      </c>
      <c r="B70" s="550" t="s">
        <v>207</v>
      </c>
      <c r="C70" s="580">
        <v>2018020060</v>
      </c>
      <c r="D70" s="561">
        <v>43529</v>
      </c>
      <c r="E70" s="300" t="str">
        <f>'0097'!D1</f>
        <v>DIDIET PURWODADI DARSONO</v>
      </c>
      <c r="F70" s="551" t="str">
        <f>'0097'!H3</f>
        <v>087878117773</v>
      </c>
      <c r="G70" s="150" t="str">
        <f>'0097'!D3</f>
        <v>Jl. Mayor Dasuki 56 Penganjang Sindang</v>
      </c>
      <c r="H70" s="150">
        <f>'0097'!L39</f>
        <v>500000</v>
      </c>
      <c r="I70" s="150">
        <f>'0097'!M39</f>
        <v>1150000</v>
      </c>
      <c r="J70" s="150"/>
      <c r="K70" s="150">
        <v>0</v>
      </c>
      <c r="L70" s="151">
        <v>0</v>
      </c>
      <c r="M70" s="151">
        <v>0</v>
      </c>
      <c r="N70" s="151">
        <v>0</v>
      </c>
      <c r="O70" s="151">
        <v>0</v>
      </c>
      <c r="P70" s="151">
        <v>0</v>
      </c>
      <c r="Q70" s="151"/>
      <c r="R70" s="151">
        <v>47378.976101609944</v>
      </c>
      <c r="S70" s="150">
        <v>0</v>
      </c>
      <c r="T70" s="150">
        <f t="shared" si="21"/>
        <v>1650000</v>
      </c>
      <c r="U70" s="150">
        <f t="shared" si="22"/>
        <v>47378.976101609944</v>
      </c>
      <c r="V70" s="542">
        <f t="shared" si="5"/>
        <v>1697378.9761016099</v>
      </c>
      <c r="W70" s="150"/>
      <c r="X70" s="563">
        <v>0</v>
      </c>
      <c r="Y70" s="564">
        <v>0</v>
      </c>
      <c r="Z70" s="112">
        <f>(T70/$T$180)*(10/12)*$Z$9*100%</f>
        <v>58615.850182009563</v>
      </c>
      <c r="AA70" s="119"/>
      <c r="AB70" s="112">
        <v>47378.976101609944</v>
      </c>
      <c r="AC70" s="120">
        <f t="shared" si="16"/>
        <v>0</v>
      </c>
      <c r="AD70" s="120">
        <f t="shared" si="17"/>
        <v>69486.468752468252</v>
      </c>
      <c r="AE70" s="120">
        <v>29333.598760791116</v>
      </c>
      <c r="AF70" s="120">
        <f t="shared" si="23"/>
        <v>69486.468752468252</v>
      </c>
      <c r="AG70" s="168"/>
      <c r="AH70" s="168"/>
      <c r="AI70" s="168"/>
      <c r="AJ70" s="168"/>
    </row>
    <row r="71" spans="1:36" ht="15" customHeight="1" thickBot="1">
      <c r="A71" s="518">
        <v>63</v>
      </c>
      <c r="B71" s="486" t="s">
        <v>208</v>
      </c>
      <c r="C71" s="580">
        <v>2018020061</v>
      </c>
      <c r="D71" s="561">
        <v>43536</v>
      </c>
      <c r="E71" s="300" t="str">
        <f>'0098'!D1</f>
        <v>MOHAMMAD RIZKI RACHMAN</v>
      </c>
      <c r="F71" s="551" t="str">
        <f>'0098'!H3</f>
        <v>082115917470</v>
      </c>
      <c r="G71" s="551" t="str">
        <f>'0098'!D3</f>
        <v>Jl. Manunggal RT 015/RW 001 Deramayu Sindang</v>
      </c>
      <c r="H71" s="150">
        <f>'0098'!L50</f>
        <v>500000</v>
      </c>
      <c r="I71" s="150">
        <f>'0098'!M50</f>
        <v>50000</v>
      </c>
      <c r="J71" s="150"/>
      <c r="K71" s="150">
        <v>0</v>
      </c>
      <c r="L71" s="151">
        <v>0</v>
      </c>
      <c r="M71" s="151">
        <v>0</v>
      </c>
      <c r="N71" s="151">
        <v>0</v>
      </c>
      <c r="O71" s="151">
        <v>0</v>
      </c>
      <c r="P71" s="151">
        <v>0</v>
      </c>
      <c r="Q71" s="151"/>
      <c r="R71" s="151">
        <v>24817.558910367112</v>
      </c>
      <c r="S71" s="150">
        <v>0</v>
      </c>
      <c r="T71" s="150">
        <f t="shared" si="21"/>
        <v>550000</v>
      </c>
      <c r="U71" s="150">
        <f t="shared" si="22"/>
        <v>24817.558910367112</v>
      </c>
      <c r="V71" s="542">
        <f t="shared" si="5"/>
        <v>574817.55891036708</v>
      </c>
      <c r="W71" s="484"/>
      <c r="X71" s="422">
        <v>100000</v>
      </c>
      <c r="Y71" s="422">
        <v>100000</v>
      </c>
      <c r="Z71" s="112">
        <f>(T71/$T$180)*(10/12)*$Z$9*100%</f>
        <v>19538.616727336521</v>
      </c>
      <c r="AA71" s="116"/>
      <c r="AB71" s="112">
        <v>24817.558910367112</v>
      </c>
      <c r="AC71" s="121">
        <f t="shared" si="16"/>
        <v>0</v>
      </c>
      <c r="AD71" s="121">
        <f t="shared" si="17"/>
        <v>23531.599547280039</v>
      </c>
      <c r="AE71" s="121">
        <v>137101.67165086768</v>
      </c>
      <c r="AF71" s="121">
        <f t="shared" si="23"/>
        <v>23531.599547280039</v>
      </c>
      <c r="AG71" s="118" t="s">
        <v>585</v>
      </c>
      <c r="AH71" s="118"/>
      <c r="AI71" s="197">
        <f>AI105*5%</f>
        <v>0</v>
      </c>
      <c r="AJ71" s="152" t="s">
        <v>595</v>
      </c>
    </row>
    <row r="72" spans="1:36" ht="15" customHeight="1" thickBot="1">
      <c r="A72" s="518">
        <v>64</v>
      </c>
      <c r="B72" s="486" t="s">
        <v>209</v>
      </c>
      <c r="C72" s="580">
        <v>2018020062</v>
      </c>
      <c r="D72" s="561">
        <v>43540</v>
      </c>
      <c r="E72" s="300" t="str">
        <f>'0099'!D1</f>
        <v>MAMAN NUROHMAN</v>
      </c>
      <c r="F72" s="551" t="str">
        <f>'0099'!H3</f>
        <v>081911147478</v>
      </c>
      <c r="G72" s="551" t="str">
        <f>'0099'!D3</f>
        <v>JL. Perjuangan RT 003/RW 001 Bojong Sari</v>
      </c>
      <c r="H72" s="150">
        <f>'0099'!L50</f>
        <v>500000</v>
      </c>
      <c r="I72" s="150">
        <f>'0099'!M50</f>
        <v>1000000</v>
      </c>
      <c r="J72" s="150"/>
      <c r="K72" s="150">
        <f>'0098'!N50</f>
        <v>0</v>
      </c>
      <c r="L72" s="151">
        <v>0</v>
      </c>
      <c r="M72" s="151">
        <v>0</v>
      </c>
      <c r="N72" s="151">
        <v>0</v>
      </c>
      <c r="O72" s="151">
        <v>0</v>
      </c>
      <c r="P72" s="151">
        <v>0</v>
      </c>
      <c r="Q72" s="151"/>
      <c r="R72" s="151">
        <v>38354.409225112802</v>
      </c>
      <c r="S72" s="150">
        <v>0</v>
      </c>
      <c r="T72" s="150">
        <f t="shared" si="21"/>
        <v>1500000</v>
      </c>
      <c r="U72" s="150">
        <f t="shared" si="22"/>
        <v>38354.409225112802</v>
      </c>
      <c r="V72" s="542">
        <f t="shared" si="5"/>
        <v>1538354.4092251128</v>
      </c>
      <c r="W72" s="566"/>
      <c r="X72" s="422">
        <v>100000</v>
      </c>
      <c r="Y72" s="422">
        <v>100000</v>
      </c>
      <c r="Z72" s="112">
        <f>(T72/$T$180)*(10/12)*$Z$9*100%</f>
        <v>53287.136529099604</v>
      </c>
      <c r="AA72" s="121"/>
      <c r="AB72" s="112">
        <v>38354.409225112802</v>
      </c>
      <c r="AC72" s="112">
        <f t="shared" si="16"/>
        <v>0</v>
      </c>
      <c r="AD72" s="112">
        <f>(V72/$V$186)*(12/12)*$AD$9*100%</f>
        <v>28100.561769635926</v>
      </c>
      <c r="AE72" s="112">
        <v>0</v>
      </c>
      <c r="AF72" s="112">
        <f t="shared" si="23"/>
        <v>28100.561769635926</v>
      </c>
      <c r="AG72" s="375" t="s">
        <v>579</v>
      </c>
      <c r="AH72" s="375"/>
      <c r="AI72" s="379">
        <f>AI71*40%</f>
        <v>0</v>
      </c>
      <c r="AJ72" s="2" t="s">
        <v>593</v>
      </c>
    </row>
    <row r="73" spans="1:36" ht="15" customHeight="1" thickBot="1">
      <c r="A73" s="518">
        <v>65</v>
      </c>
      <c r="B73" s="550" t="s">
        <v>211</v>
      </c>
      <c r="C73" s="580">
        <v>2018020063</v>
      </c>
      <c r="D73" s="561">
        <v>43566</v>
      </c>
      <c r="E73" s="300" t="str">
        <f>'0101'!D1</f>
        <v>SAEPUDIN</v>
      </c>
      <c r="F73" s="551" t="str">
        <f>'0101'!H3</f>
        <v>0895324777145</v>
      </c>
      <c r="G73" s="551" t="str">
        <f>'0101'!D3</f>
        <v>KP GARUNGGANG RT 004 RW 003</v>
      </c>
      <c r="H73" s="150">
        <f>'0101'!$L$50</f>
        <v>500000</v>
      </c>
      <c r="I73" s="150">
        <f>'0101'!$M$50</f>
        <v>550000</v>
      </c>
      <c r="J73" s="150"/>
      <c r="K73" s="150">
        <f>'0101'!$N$50</f>
        <v>0</v>
      </c>
      <c r="L73" s="151">
        <v>0</v>
      </c>
      <c r="M73" s="151">
        <v>0</v>
      </c>
      <c r="N73" s="151">
        <v>0</v>
      </c>
      <c r="O73" s="151">
        <v>0</v>
      </c>
      <c r="P73" s="151">
        <v>0</v>
      </c>
      <c r="Q73" s="151"/>
      <c r="R73" s="151">
        <v>36549.495849813378</v>
      </c>
      <c r="S73" s="150">
        <v>0</v>
      </c>
      <c r="T73" s="150">
        <f t="shared" si="21"/>
        <v>1050000</v>
      </c>
      <c r="U73" s="150">
        <f t="shared" si="22"/>
        <v>36549.495849813378</v>
      </c>
      <c r="V73" s="542">
        <f t="shared" si="5"/>
        <v>1086549.4958498133</v>
      </c>
      <c r="W73" s="484"/>
      <c r="X73" s="422">
        <v>100000</v>
      </c>
      <c r="Y73" s="422">
        <v>100000</v>
      </c>
      <c r="Z73" s="112">
        <f>(T73/$T$180)*(9/12)*$Z$9*100%</f>
        <v>33570.896013332749</v>
      </c>
      <c r="AA73" s="116"/>
      <c r="AB73" s="112">
        <v>36549.495849813378</v>
      </c>
      <c r="AC73" s="121">
        <f t="shared" si="16"/>
        <v>0</v>
      </c>
      <c r="AD73" s="121">
        <f>(V73/$W$181)*(12/12)*$AD$9*100%</f>
        <v>44480.63081633133</v>
      </c>
      <c r="AE73" s="121">
        <v>0</v>
      </c>
      <c r="AF73" s="121">
        <f t="shared" si="23"/>
        <v>44480.63081633133</v>
      </c>
      <c r="AG73" s="118" t="s">
        <v>682</v>
      </c>
      <c r="AH73" s="118"/>
      <c r="AI73" s="384">
        <v>9000000</v>
      </c>
      <c r="AJ73" s="152"/>
    </row>
    <row r="74" spans="1:36" ht="15" customHeight="1" thickBot="1">
      <c r="A74" s="518">
        <v>66</v>
      </c>
      <c r="B74" s="555" t="s">
        <v>212</v>
      </c>
      <c r="C74" s="580">
        <v>2018020064</v>
      </c>
      <c r="D74" s="561">
        <v>43566</v>
      </c>
      <c r="E74" s="300" t="str">
        <f>'0102'!D1</f>
        <v>WARYO SUWIRYO</v>
      </c>
      <c r="F74" s="551" t="str">
        <f>'0102'!H3</f>
        <v>08382347387</v>
      </c>
      <c r="G74" s="551" t="str">
        <f>'0102'!D3</f>
        <v>Blok C RT 027/RW007 Rambatan Wetan</v>
      </c>
      <c r="H74" s="150">
        <f>'0102'!$L$50</f>
        <v>500000</v>
      </c>
      <c r="I74" s="150">
        <f>'0102'!$M$50</f>
        <v>650000</v>
      </c>
      <c r="J74" s="150"/>
      <c r="K74" s="150">
        <f>'0102'!$N$50</f>
        <v>0</v>
      </c>
      <c r="L74" s="151">
        <v>0</v>
      </c>
      <c r="M74" s="151">
        <v>0</v>
      </c>
      <c r="N74" s="151">
        <v>0</v>
      </c>
      <c r="O74" s="151">
        <v>0</v>
      </c>
      <c r="P74" s="151">
        <v>0</v>
      </c>
      <c r="Q74" s="151"/>
      <c r="R74" s="151">
        <v>34518.968302601526</v>
      </c>
      <c r="S74" s="150">
        <v>0</v>
      </c>
      <c r="T74" s="150">
        <f t="shared" si="21"/>
        <v>1150000</v>
      </c>
      <c r="U74" s="150">
        <f t="shared" si="22"/>
        <v>34518.968302601526</v>
      </c>
      <c r="V74" s="542">
        <f t="shared" si="5"/>
        <v>1184518.9683026015</v>
      </c>
      <c r="W74" s="484"/>
      <c r="X74" s="422">
        <v>100000</v>
      </c>
      <c r="Y74" s="422">
        <v>100000</v>
      </c>
      <c r="Z74" s="112">
        <f>(T74/$T$180)*(9/12)*$Z$9*100%</f>
        <v>36768.124205078726</v>
      </c>
      <c r="AA74" s="116"/>
      <c r="AB74" s="112">
        <v>34518.968302601526</v>
      </c>
      <c r="AC74" s="121">
        <f t="shared" si="16"/>
        <v>0</v>
      </c>
      <c r="AD74" s="121">
        <f>(V74/$W$181)*(12/12)*$AD$9*100%</f>
        <v>48491.257071359803</v>
      </c>
      <c r="AE74" s="121">
        <v>0</v>
      </c>
      <c r="AF74" s="121">
        <f t="shared" si="23"/>
        <v>48491.257071359803</v>
      </c>
      <c r="AG74" s="118" t="s">
        <v>586</v>
      </c>
      <c r="AH74" s="118"/>
      <c r="AI74" s="382">
        <f>SUM(AI107:AI108)</f>
        <v>0</v>
      </c>
      <c r="AJ74" s="152"/>
    </row>
    <row r="75" spans="1:36" ht="15" customHeight="1" thickBot="1">
      <c r="A75" s="518">
        <v>67</v>
      </c>
      <c r="B75" s="555" t="s">
        <v>213</v>
      </c>
      <c r="C75" s="580">
        <v>2018020065</v>
      </c>
      <c r="D75" s="561">
        <v>43566</v>
      </c>
      <c r="E75" s="300" t="str">
        <f>'0103'!D1</f>
        <v>QOULAN SADIDAN</v>
      </c>
      <c r="F75" s="551" t="str">
        <f>'0103'!H3</f>
        <v>0895324375200</v>
      </c>
      <c r="G75" s="551" t="str">
        <f>'0103'!D3</f>
        <v>Ds. Karang Malang - Indramayu</v>
      </c>
      <c r="H75" s="150">
        <f>'0103'!$L$50</f>
        <v>500000</v>
      </c>
      <c r="I75" s="150">
        <f>'0103'!$M$50</f>
        <v>750000</v>
      </c>
      <c r="J75" s="150"/>
      <c r="K75" s="150">
        <f>'0103'!$N$50</f>
        <v>600000</v>
      </c>
      <c r="L75" s="151">
        <v>0</v>
      </c>
      <c r="M75" s="151">
        <v>0</v>
      </c>
      <c r="N75" s="151">
        <v>0</v>
      </c>
      <c r="O75" s="151">
        <v>0</v>
      </c>
      <c r="P75" s="151">
        <v>0</v>
      </c>
      <c r="Q75" s="151"/>
      <c r="R75" s="151">
        <v>38580.023397025238</v>
      </c>
      <c r="S75" s="151">
        <v>0</v>
      </c>
      <c r="T75" s="150">
        <f t="shared" si="21"/>
        <v>1250000</v>
      </c>
      <c r="U75" s="150">
        <f t="shared" si="22"/>
        <v>638580.02339702519</v>
      </c>
      <c r="V75" s="542">
        <f t="shared" ref="V75:V101" si="24">(H75+I75+K75+L75+M75+N75+O75+Q75+P75+R75)-S75</f>
        <v>1888580.0233970252</v>
      </c>
      <c r="W75" s="484"/>
      <c r="X75" s="422">
        <v>100000</v>
      </c>
      <c r="Y75" s="422">
        <v>100000</v>
      </c>
      <c r="Z75" s="112">
        <f>(T75/$T$180)*(9/12)*$Z$9*100%</f>
        <v>39965.352396824703</v>
      </c>
      <c r="AA75" s="116"/>
      <c r="AB75" s="112">
        <v>38580.023397025238</v>
      </c>
      <c r="AC75" s="121">
        <f t="shared" si="16"/>
        <v>0</v>
      </c>
      <c r="AD75" s="121">
        <f>(V75/$W$181)*(12/12)*$AD$9*100%</f>
        <v>77313.763531885124</v>
      </c>
      <c r="AE75" s="121">
        <v>969.23956349847197</v>
      </c>
      <c r="AF75" s="121">
        <f t="shared" si="23"/>
        <v>77313.763531885124</v>
      </c>
      <c r="AG75" s="118"/>
      <c r="AH75" s="118"/>
      <c r="AI75" s="118"/>
      <c r="AJ75" s="152"/>
    </row>
    <row r="76" spans="1:36" ht="15" customHeight="1" thickBot="1">
      <c r="A76" s="518">
        <v>68</v>
      </c>
      <c r="B76" s="550" t="s">
        <v>214</v>
      </c>
      <c r="C76" s="580">
        <v>2018020066</v>
      </c>
      <c r="D76" s="561">
        <v>43570</v>
      </c>
      <c r="E76" s="300" t="str">
        <f>'0104'!D1</f>
        <v>ITA ROSYITA SARI</v>
      </c>
      <c r="F76" s="551" t="str">
        <f>'0104'!H3</f>
        <v>081802121998</v>
      </c>
      <c r="G76" s="551" t="str">
        <f>'0104'!D3</f>
        <v xml:space="preserve">Komp. Bima Garden A20 Kalikoa Kedawung </v>
      </c>
      <c r="H76" s="150">
        <f>'0104'!$L$62</f>
        <v>500000</v>
      </c>
      <c r="I76" s="150">
        <f>'0104'!$M$62</f>
        <v>900000</v>
      </c>
      <c r="J76" s="150"/>
      <c r="K76" s="150">
        <f>'0104'!$N$50</f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/>
      <c r="R76" s="151">
        <v>22335.803019330397</v>
      </c>
      <c r="S76" s="150">
        <v>0</v>
      </c>
      <c r="T76" s="150">
        <f>H76+I76</f>
        <v>1400000</v>
      </c>
      <c r="U76" s="150">
        <f t="shared" ref="U76:U81" si="25">SUM(K76:S76)</f>
        <v>22335.803019330397</v>
      </c>
      <c r="V76" s="542">
        <f t="shared" si="24"/>
        <v>1422335.8030193304</v>
      </c>
      <c r="W76" s="484"/>
      <c r="X76" s="422">
        <v>100000</v>
      </c>
      <c r="Y76" s="422">
        <v>100000</v>
      </c>
      <c r="Z76" s="112">
        <f>(T76/$T$180)*(9/12)*$Z$9*100%</f>
        <v>44761.194684443668</v>
      </c>
      <c r="AA76" s="116"/>
      <c r="AB76" s="112">
        <v>22335.803019330397</v>
      </c>
      <c r="AC76" s="121">
        <f t="shared" si="16"/>
        <v>0</v>
      </c>
      <c r="AD76" s="121">
        <f>(V76/$W$181)*(12/12)*$AD$9*100%</f>
        <v>58226.886112970868</v>
      </c>
      <c r="AE76" s="121">
        <v>58387.463123107846</v>
      </c>
      <c r="AF76" s="121">
        <f>AC76+AD76</f>
        <v>58226.886112970868</v>
      </c>
      <c r="AG76" s="121">
        <f>(V76/$V$182)*100%*(4/12)*$AC$9</f>
        <v>0</v>
      </c>
      <c r="AH76" s="118"/>
      <c r="AI76" s="118"/>
      <c r="AJ76" s="152"/>
    </row>
    <row r="77" spans="1:36" ht="15" customHeight="1" thickBot="1">
      <c r="A77" s="518">
        <v>69</v>
      </c>
      <c r="B77" s="550" t="s">
        <v>215</v>
      </c>
      <c r="C77" s="580">
        <v>2018020067</v>
      </c>
      <c r="D77" s="561">
        <v>43587</v>
      </c>
      <c r="E77" s="300" t="str">
        <f>'0105'!D1</f>
        <v>CASDIMAN</v>
      </c>
      <c r="F77" s="551" t="str">
        <f>'0105'!H3</f>
        <v>0877241031498</v>
      </c>
      <c r="G77" s="551" t="str">
        <f>'0105'!D3</f>
        <v>BLOK SUKA TANI BANGO DUA RT008/RW004</v>
      </c>
      <c r="H77" s="150">
        <f>'0105'!$L$50</f>
        <v>500000</v>
      </c>
      <c r="I77" s="150">
        <f>'0105'!$M$50</f>
        <v>50000</v>
      </c>
      <c r="J77" s="150"/>
      <c r="K77" s="150">
        <f>'0105'!$N$50</f>
        <v>0</v>
      </c>
      <c r="L77" s="151">
        <v>0</v>
      </c>
      <c r="M77" s="151">
        <v>0</v>
      </c>
      <c r="N77" s="151">
        <v>0</v>
      </c>
      <c r="O77" s="151">
        <v>0</v>
      </c>
      <c r="P77" s="151">
        <v>0</v>
      </c>
      <c r="Q77" s="151"/>
      <c r="R77" s="151">
        <v>18049.133752994261</v>
      </c>
      <c r="S77" s="150">
        <v>0</v>
      </c>
      <c r="T77" s="150">
        <f t="shared" ref="T77" si="26">H77+I77</f>
        <v>550000</v>
      </c>
      <c r="U77" s="150">
        <f t="shared" si="25"/>
        <v>18049.133752994261</v>
      </c>
      <c r="V77" s="542">
        <f t="shared" si="24"/>
        <v>568049.13375299424</v>
      </c>
      <c r="W77" s="484"/>
      <c r="X77" s="422">
        <v>100000</v>
      </c>
      <c r="Y77" s="422">
        <v>100000</v>
      </c>
      <c r="Z77" s="112">
        <f t="shared" ref="Z77:Z83" si="27">(T77/$T$180)*(8/12)*$Z$9*100%</f>
        <v>15630.893381869215</v>
      </c>
      <c r="AA77" s="116"/>
      <c r="AB77" s="112">
        <v>18049.133752994261</v>
      </c>
      <c r="AC77" s="112">
        <f t="shared" si="16"/>
        <v>0</v>
      </c>
      <c r="AD77" s="112">
        <f>(V77/$W$181)*(12/12)*$AD$9*100%</f>
        <v>23254.517074937074</v>
      </c>
      <c r="AE77" s="112">
        <v>0</v>
      </c>
      <c r="AF77" s="112">
        <f>AC77+AD77</f>
        <v>23254.517074937074</v>
      </c>
      <c r="AG77" s="114">
        <f>(V77/$V$182)*100%*(11/12)*$AC$9</f>
        <v>0</v>
      </c>
      <c r="AH77" s="3"/>
      <c r="AI77" s="3"/>
    </row>
    <row r="78" spans="1:36" ht="15" customHeight="1" thickBot="1">
      <c r="A78" s="518">
        <v>70</v>
      </c>
      <c r="B78" s="550" t="s">
        <v>216</v>
      </c>
      <c r="C78" s="580">
        <v>2018020068</v>
      </c>
      <c r="D78" s="561">
        <v>43605</v>
      </c>
      <c r="E78" s="300" t="str">
        <f>'0106'!D1</f>
        <v>MASHURI</v>
      </c>
      <c r="F78" s="551" t="str">
        <f>'0106'!H3</f>
        <v>085295577079</v>
      </c>
      <c r="G78" s="551" t="str">
        <f>'0106'!D3</f>
        <v>PERUM BALONGAN PRATAMA B5 No. 8</v>
      </c>
      <c r="H78" s="150">
        <f>'0106'!$L$50</f>
        <v>500000</v>
      </c>
      <c r="I78" s="150">
        <f>'0106'!$M$50</f>
        <v>750000</v>
      </c>
      <c r="J78" s="150"/>
      <c r="K78" s="150">
        <f>'0106'!$N$50</f>
        <v>10450000</v>
      </c>
      <c r="L78" s="151">
        <v>0</v>
      </c>
      <c r="M78" s="151">
        <v>0</v>
      </c>
      <c r="N78" s="151">
        <v>0</v>
      </c>
      <c r="O78" s="151">
        <v>0</v>
      </c>
      <c r="P78" s="151">
        <v>0</v>
      </c>
      <c r="Q78" s="151"/>
      <c r="R78" s="151">
        <v>21658.960503593116</v>
      </c>
      <c r="S78" s="150">
        <v>0</v>
      </c>
      <c r="T78" s="150">
        <f>H78+I78</f>
        <v>1250000</v>
      </c>
      <c r="U78" s="150">
        <f t="shared" si="25"/>
        <v>10471658.960503593</v>
      </c>
      <c r="V78" s="542">
        <f t="shared" si="24"/>
        <v>11721658.960503593</v>
      </c>
      <c r="W78" s="484"/>
      <c r="X78" s="422">
        <v>100000</v>
      </c>
      <c r="Y78" s="422">
        <v>100000</v>
      </c>
      <c r="Z78" s="112">
        <f t="shared" si="27"/>
        <v>35524.757686066405</v>
      </c>
      <c r="AA78" s="116"/>
      <c r="AB78" s="112">
        <v>21658.960503593116</v>
      </c>
      <c r="AC78" s="112"/>
      <c r="AD78" s="112"/>
      <c r="AE78" s="112"/>
      <c r="AF78" s="112"/>
      <c r="AG78" s="114"/>
      <c r="AH78" s="3"/>
      <c r="AI78" s="3"/>
    </row>
    <row r="79" spans="1:36" ht="15" customHeight="1" thickBot="1">
      <c r="A79" s="518">
        <v>71</v>
      </c>
      <c r="B79" s="550" t="s">
        <v>217</v>
      </c>
      <c r="C79" s="580">
        <v>2018020069</v>
      </c>
      <c r="D79" s="561">
        <v>43605</v>
      </c>
      <c r="E79" s="300" t="str">
        <f>'0107'!D1</f>
        <v>ENDRI</v>
      </c>
      <c r="F79" s="551" t="str">
        <f>'0107'!H3</f>
        <v>0816527577</v>
      </c>
      <c r="G79" s="551" t="str">
        <f>'0107'!D3</f>
        <v>BLOK KARANG BARU TIMUR DS LOBENER RT 02 RW 01</v>
      </c>
      <c r="H79" s="150">
        <f>'0107'!$L$50</f>
        <v>500000</v>
      </c>
      <c r="I79" s="150">
        <f>'0107'!$M$50</f>
        <v>550000</v>
      </c>
      <c r="J79" s="150"/>
      <c r="K79" s="150">
        <v>0</v>
      </c>
      <c r="L79" s="151">
        <v>0</v>
      </c>
      <c r="M79" s="151">
        <v>0</v>
      </c>
      <c r="N79" s="151">
        <v>0</v>
      </c>
      <c r="O79" s="151">
        <v>0</v>
      </c>
      <c r="P79" s="151">
        <v>0</v>
      </c>
      <c r="Q79" s="151"/>
      <c r="R79" s="151">
        <v>32488.440755389667</v>
      </c>
      <c r="S79" s="150">
        <v>0</v>
      </c>
      <c r="T79" s="150">
        <f t="shared" ref="T79" si="28">H79+I79</f>
        <v>1050000</v>
      </c>
      <c r="U79" s="150">
        <f t="shared" si="25"/>
        <v>32488.440755389667</v>
      </c>
      <c r="V79" s="542">
        <f t="shared" si="24"/>
        <v>1082488.4407553896</v>
      </c>
      <c r="W79" s="484"/>
      <c r="X79" s="422">
        <v>100000</v>
      </c>
      <c r="Y79" s="422">
        <v>100000</v>
      </c>
      <c r="Z79" s="112">
        <f t="shared" si="27"/>
        <v>29840.796456295779</v>
      </c>
      <c r="AA79" s="116"/>
      <c r="AB79" s="112">
        <v>32488.440755389667</v>
      </c>
      <c r="AC79" s="112"/>
      <c r="AD79" s="112"/>
      <c r="AE79" s="112"/>
      <c r="AF79" s="112"/>
      <c r="AG79" s="114"/>
      <c r="AH79" s="3"/>
      <c r="AI79" s="3"/>
    </row>
    <row r="80" spans="1:36" ht="15" customHeight="1" thickBot="1">
      <c r="A80" s="518">
        <v>72</v>
      </c>
      <c r="B80" s="555" t="s">
        <v>218</v>
      </c>
      <c r="C80" s="580">
        <v>2018020070</v>
      </c>
      <c r="D80" s="561">
        <v>43606</v>
      </c>
      <c r="E80" s="300" t="str">
        <f>'0108'!D1</f>
        <v>ABDURACHMAN SATE BAROKAH</v>
      </c>
      <c r="F80" s="551" t="str">
        <f>'0108'!H3</f>
        <v>087737282321</v>
      </c>
      <c r="G80" s="551" t="str">
        <f>'0108'!D3</f>
        <v>JL. Letjend Soeprapto Gg 39</v>
      </c>
      <c r="H80" s="150">
        <f>'0108'!$L$50</f>
        <v>500000</v>
      </c>
      <c r="I80" s="150">
        <f>'0108'!$M$50</f>
        <v>50000</v>
      </c>
      <c r="J80" s="150"/>
      <c r="K80" s="150">
        <v>0</v>
      </c>
      <c r="L80" s="151">
        <v>0</v>
      </c>
      <c r="M80" s="151">
        <v>0</v>
      </c>
      <c r="N80" s="151">
        <v>0</v>
      </c>
      <c r="O80" s="151">
        <v>0</v>
      </c>
      <c r="P80" s="151">
        <v>0</v>
      </c>
      <c r="Q80" s="151"/>
      <c r="R80" s="151">
        <v>19854.047128293685</v>
      </c>
      <c r="S80" s="150">
        <v>0</v>
      </c>
      <c r="T80" s="150">
        <f t="shared" ref="T80" si="29">H80+I80</f>
        <v>550000</v>
      </c>
      <c r="U80" s="150">
        <f t="shared" si="25"/>
        <v>19854.047128293685</v>
      </c>
      <c r="V80" s="542">
        <f t="shared" si="24"/>
        <v>569854.04712829366</v>
      </c>
      <c r="W80" s="484"/>
      <c r="X80" s="422">
        <v>100000</v>
      </c>
      <c r="Y80" s="422">
        <v>100000</v>
      </c>
      <c r="Z80" s="112">
        <f t="shared" si="27"/>
        <v>15630.893381869215</v>
      </c>
      <c r="AA80" s="116"/>
      <c r="AB80" s="112">
        <v>19854.047128293685</v>
      </c>
      <c r="AC80" s="112"/>
      <c r="AD80" s="112"/>
      <c r="AE80" s="112"/>
      <c r="AF80" s="112"/>
      <c r="AG80" s="114"/>
      <c r="AH80" s="3"/>
      <c r="AI80" s="3"/>
    </row>
    <row r="81" spans="1:36" ht="15" customHeight="1" thickBot="1">
      <c r="A81" s="518">
        <v>73</v>
      </c>
      <c r="B81" s="555" t="s">
        <v>219</v>
      </c>
      <c r="C81" s="580">
        <v>2018020071</v>
      </c>
      <c r="D81" s="561">
        <v>43607</v>
      </c>
      <c r="E81" s="300" t="str">
        <f>'0109'!D1</f>
        <v>ERIC ROZALINO</v>
      </c>
      <c r="F81" s="551" t="str">
        <f>'0109'!$H$3</f>
        <v>083824305101</v>
      </c>
      <c r="G81" s="551" t="str">
        <f>'0109'!D3</f>
        <v>Jl. Cengkir VIII No. 29 Griya Ayu Utama</v>
      </c>
      <c r="H81" s="150">
        <f>'0109'!$L$50</f>
        <v>500000</v>
      </c>
      <c r="I81" s="150">
        <f>'0109'!$M$50</f>
        <v>800000</v>
      </c>
      <c r="J81" s="150"/>
      <c r="K81" s="150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/>
      <c r="R81" s="151">
        <v>28878.614004790819</v>
      </c>
      <c r="S81" s="150">
        <v>0</v>
      </c>
      <c r="T81" s="150">
        <f t="shared" ref="T81" si="30">H81+I81</f>
        <v>1300000</v>
      </c>
      <c r="U81" s="150">
        <f t="shared" si="25"/>
        <v>28878.614004790819</v>
      </c>
      <c r="V81" s="542">
        <f t="shared" si="24"/>
        <v>1328878.6140047908</v>
      </c>
      <c r="W81" s="484"/>
      <c r="X81" s="422">
        <v>100000</v>
      </c>
      <c r="Y81" s="422">
        <v>100000</v>
      </c>
      <c r="Z81" s="112">
        <f t="shared" si="27"/>
        <v>36945.747993509052</v>
      </c>
      <c r="AA81" s="116"/>
      <c r="AB81" s="112">
        <v>28878.614004790819</v>
      </c>
      <c r="AC81" s="112"/>
      <c r="AD81" s="112"/>
      <c r="AE81" s="112"/>
      <c r="AF81" s="112"/>
      <c r="AG81" s="114"/>
      <c r="AH81" s="3"/>
      <c r="AI81" s="3"/>
    </row>
    <row r="82" spans="1:36" ht="15" customHeight="1" thickBot="1">
      <c r="A82" s="518">
        <v>74</v>
      </c>
      <c r="B82" s="555" t="s">
        <v>220</v>
      </c>
      <c r="C82" s="580">
        <v>2018020072</v>
      </c>
      <c r="D82" s="561">
        <v>43608</v>
      </c>
      <c r="E82" s="300" t="str">
        <f>'0110'!D1</f>
        <v>MAMAT ABDUL SOMAD</v>
      </c>
      <c r="F82" s="551" t="str">
        <f>'0110'!$H$3</f>
        <v>087718693872</v>
      </c>
      <c r="G82" s="551" t="str">
        <f>'0110'!D3</f>
        <v>jl. Manalagi I B2 No 2 Griya Ayu Utama</v>
      </c>
      <c r="H82" s="150">
        <f>'0110'!$L$50</f>
        <v>500000</v>
      </c>
      <c r="I82" s="150">
        <f>'0110'!$M$50</f>
        <v>350000</v>
      </c>
      <c r="J82" s="150"/>
      <c r="K82" s="150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/>
      <c r="R82" s="151">
        <v>27073.700629491395</v>
      </c>
      <c r="S82" s="150">
        <v>0</v>
      </c>
      <c r="T82" s="150">
        <f t="shared" ref="T82" si="31">H82+I82</f>
        <v>850000</v>
      </c>
      <c r="U82" s="150">
        <f t="shared" ref="U82" si="32">SUM(K82:S82)</f>
        <v>27073.700629491395</v>
      </c>
      <c r="V82" s="542">
        <f t="shared" si="24"/>
        <v>877073.70062949136</v>
      </c>
      <c r="W82" s="389"/>
      <c r="X82" s="422">
        <v>100000</v>
      </c>
      <c r="Y82" s="422">
        <v>100000</v>
      </c>
      <c r="Z82" s="112">
        <f t="shared" si="27"/>
        <v>24156.835226525152</v>
      </c>
      <c r="AA82" s="116"/>
      <c r="AB82" s="112">
        <v>27073.700629491395</v>
      </c>
      <c r="AC82" s="112"/>
      <c r="AD82" s="112"/>
      <c r="AE82" s="112"/>
      <c r="AF82" s="112"/>
      <c r="AG82" s="114"/>
      <c r="AH82" s="3"/>
      <c r="AI82" s="3"/>
    </row>
    <row r="83" spans="1:36" ht="15" customHeight="1" thickBot="1">
      <c r="A83" s="518">
        <v>75</v>
      </c>
      <c r="B83" s="555" t="s">
        <v>221</v>
      </c>
      <c r="C83" s="580">
        <v>2018020073</v>
      </c>
      <c r="D83" s="561">
        <v>43609</v>
      </c>
      <c r="E83" s="300" t="str">
        <f>'0111'!D1</f>
        <v>NURSYAMSIAH</v>
      </c>
      <c r="F83" s="551" t="str">
        <f>'0111'!$H$3</f>
        <v>087712340820</v>
      </c>
      <c r="G83" s="551" t="str">
        <f>'0111'!D3</f>
        <v>JL&gt; Pasarean RT 008/RW003 Karang Malang</v>
      </c>
      <c r="H83" s="150">
        <f>'0111'!$L$50</f>
        <v>500000</v>
      </c>
      <c r="I83" s="150">
        <f>'0111'!$M$50</f>
        <v>50000</v>
      </c>
      <c r="J83" s="150"/>
      <c r="K83" s="150">
        <v>0</v>
      </c>
      <c r="L83" s="151">
        <v>0</v>
      </c>
      <c r="M83" s="151">
        <v>0</v>
      </c>
      <c r="N83" s="151">
        <v>0</v>
      </c>
      <c r="O83" s="151">
        <v>0</v>
      </c>
      <c r="P83" s="151">
        <v>0</v>
      </c>
      <c r="Q83" s="151"/>
      <c r="R83" s="151">
        <v>19854.047128293685</v>
      </c>
      <c r="S83" s="150">
        <v>0</v>
      </c>
      <c r="T83" s="150">
        <f t="shared" ref="T83" si="33">H83+I83</f>
        <v>550000</v>
      </c>
      <c r="U83" s="150">
        <f t="shared" ref="U83" si="34">SUM(K83:S83)</f>
        <v>19854.047128293685</v>
      </c>
      <c r="V83" s="542">
        <f t="shared" si="24"/>
        <v>569854.04712829366</v>
      </c>
      <c r="W83" s="389"/>
      <c r="X83" s="422">
        <v>100000</v>
      </c>
      <c r="Y83" s="422">
        <v>100000</v>
      </c>
      <c r="Z83" s="112">
        <f t="shared" si="27"/>
        <v>15630.893381869215</v>
      </c>
      <c r="AA83" s="116"/>
      <c r="AB83" s="112">
        <v>19854.047128293685</v>
      </c>
      <c r="AC83" s="112"/>
      <c r="AD83" s="112"/>
      <c r="AE83" s="112"/>
      <c r="AF83" s="112"/>
      <c r="AG83" s="114"/>
      <c r="AH83" s="3"/>
      <c r="AI83" s="3"/>
    </row>
    <row r="84" spans="1:36" ht="15" customHeight="1" thickBot="1">
      <c r="A84" s="518">
        <v>76</v>
      </c>
      <c r="B84" s="555" t="s">
        <v>222</v>
      </c>
      <c r="C84" s="580">
        <v>2018020074</v>
      </c>
      <c r="D84" s="561">
        <v>43732</v>
      </c>
      <c r="E84" s="300" t="str">
        <f>'0112'!D1</f>
        <v>GIDMIR</v>
      </c>
      <c r="F84" s="551">
        <f>'0112'!$H$3</f>
        <v>0</v>
      </c>
      <c r="G84" s="551" t="str">
        <f>'0112'!D3</f>
        <v>Jl. Kapten Arya No. 82</v>
      </c>
      <c r="H84" s="150">
        <f>'0112'!$L$50</f>
        <v>500000</v>
      </c>
      <c r="I84" s="150">
        <f>'0112'!$M$50</f>
        <v>50000</v>
      </c>
      <c r="J84" s="150"/>
      <c r="K84" s="150">
        <v>0</v>
      </c>
      <c r="L84" s="151">
        <v>0</v>
      </c>
      <c r="M84" s="151">
        <v>0</v>
      </c>
      <c r="N84" s="151">
        <v>0</v>
      </c>
      <c r="O84" s="151">
        <v>0</v>
      </c>
      <c r="P84" s="151">
        <v>0</v>
      </c>
      <c r="Q84" s="151"/>
      <c r="R84" s="151">
        <v>9927.0235641468425</v>
      </c>
      <c r="S84" s="150">
        <v>0</v>
      </c>
      <c r="T84" s="150">
        <f t="shared" ref="T84" si="35">H84+I84</f>
        <v>550000</v>
      </c>
      <c r="U84" s="150">
        <f t="shared" ref="U84" si="36">SUM(K84:S84)</f>
        <v>9927.0235641468425</v>
      </c>
      <c r="V84" s="542">
        <f t="shared" si="24"/>
        <v>559927.02356414683</v>
      </c>
      <c r="W84" s="389"/>
      <c r="X84" s="422">
        <v>100000</v>
      </c>
      <c r="Y84" s="422">
        <v>100000</v>
      </c>
      <c r="Z84" s="112">
        <f>(T84/$T$180)*(4/12)*$Z$9*100%</f>
        <v>7815.4466909346074</v>
      </c>
      <c r="AA84" s="116"/>
      <c r="AB84" s="112">
        <v>9927.0235641468425</v>
      </c>
      <c r="AC84" s="112"/>
      <c r="AD84" s="112"/>
      <c r="AE84" s="112"/>
      <c r="AF84" s="112"/>
      <c r="AG84" s="114"/>
      <c r="AH84" s="3"/>
      <c r="AI84" s="3"/>
    </row>
    <row r="85" spans="1:36" ht="15" customHeight="1" thickBot="1">
      <c r="A85" s="518">
        <v>77</v>
      </c>
      <c r="B85" s="555" t="s">
        <v>223</v>
      </c>
      <c r="C85" s="580">
        <v>2018020075</v>
      </c>
      <c r="D85" s="561">
        <v>43783</v>
      </c>
      <c r="E85" s="300" t="str">
        <f>'0113'!D1</f>
        <v>SUHENDRI</v>
      </c>
      <c r="F85" s="551" t="str">
        <f>'0113'!$H$3</f>
        <v>085323039672</v>
      </c>
      <c r="G85" s="551" t="str">
        <f>'0113'!$D$3</f>
        <v>Jl. Kapten Arya No. 32</v>
      </c>
      <c r="H85" s="150">
        <f>'0113'!$L$50</f>
        <v>500000</v>
      </c>
      <c r="I85" s="150">
        <f>'0113'!$M$50</f>
        <v>650000</v>
      </c>
      <c r="J85" s="150"/>
      <c r="K85" s="150">
        <v>0</v>
      </c>
      <c r="L85" s="151">
        <v>0</v>
      </c>
      <c r="M85" s="151">
        <v>0</v>
      </c>
      <c r="N85" s="151">
        <v>0</v>
      </c>
      <c r="O85" s="151">
        <v>0</v>
      </c>
      <c r="P85" s="151">
        <v>0</v>
      </c>
      <c r="Q85" s="151"/>
      <c r="R85" s="151">
        <v>5414.7401258982791</v>
      </c>
      <c r="S85" s="150">
        <v>0</v>
      </c>
      <c r="T85" s="150">
        <f t="shared" ref="T85" si="37">H85+I85</f>
        <v>1150000</v>
      </c>
      <c r="U85" s="150">
        <f t="shared" ref="U85" si="38">SUM(K85:S85)</f>
        <v>5414.7401258982791</v>
      </c>
      <c r="V85" s="542">
        <f t="shared" si="24"/>
        <v>1155414.7401258983</v>
      </c>
      <c r="W85" s="389"/>
      <c r="X85" s="422">
        <v>100000</v>
      </c>
      <c r="Y85" s="422">
        <v>100000</v>
      </c>
      <c r="Z85" s="112">
        <f>(T85/$T$180)*(2/12)*$Z$9*100%</f>
        <v>8170.694267795272</v>
      </c>
      <c r="AA85" s="116"/>
      <c r="AB85" s="112">
        <v>5414.7401258982791</v>
      </c>
      <c r="AC85" s="112"/>
      <c r="AD85" s="112"/>
      <c r="AE85" s="112"/>
      <c r="AF85" s="112"/>
      <c r="AG85" s="114"/>
      <c r="AH85" s="3"/>
      <c r="AI85" s="3"/>
    </row>
    <row r="86" spans="1:36" ht="15" customHeight="1" thickBot="1">
      <c r="A86" s="518">
        <v>78</v>
      </c>
      <c r="B86" s="555" t="s">
        <v>224</v>
      </c>
      <c r="C86" s="580">
        <v>2018020076</v>
      </c>
      <c r="D86" s="561">
        <v>43822</v>
      </c>
      <c r="E86" s="300" t="str">
        <f>'0114'!D1</f>
        <v>MUAMAR KHADAFI</v>
      </c>
      <c r="F86" s="551" t="str">
        <f>'0114'!$H$3</f>
        <v>082237135043</v>
      </c>
      <c r="G86" s="551" t="str">
        <f>'0114'!$D$3</f>
        <v>JL. Babar Layar 035/002 Terusan Sindang</v>
      </c>
      <c r="H86" s="150">
        <f>'0114'!$L$50</f>
        <v>500000</v>
      </c>
      <c r="I86" s="150">
        <f>'0114'!$M$50</f>
        <v>650000</v>
      </c>
      <c r="J86" s="150"/>
      <c r="K86" s="150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/>
      <c r="R86" s="151">
        <v>2481.7558910367106</v>
      </c>
      <c r="S86" s="150">
        <v>0</v>
      </c>
      <c r="T86" s="150">
        <f t="shared" ref="T86:T87" si="39">H86+I86</f>
        <v>1150000</v>
      </c>
      <c r="U86" s="150">
        <f t="shared" ref="U86:U87" si="40">SUM(K86:S86)</f>
        <v>2481.7558910367106</v>
      </c>
      <c r="V86" s="542">
        <f t="shared" si="24"/>
        <v>1152481.7558910367</v>
      </c>
      <c r="W86" s="389"/>
      <c r="X86" s="422">
        <v>100000</v>
      </c>
      <c r="Y86" s="422">
        <v>100000</v>
      </c>
      <c r="Z86" s="112">
        <f>(T86/$T$180)*(1/12)*$Z$9*100%</f>
        <v>4085.347133897636</v>
      </c>
      <c r="AA86" s="116"/>
      <c r="AB86" s="112">
        <v>2481.7558910367106</v>
      </c>
      <c r="AC86" s="112"/>
      <c r="AD86" s="112"/>
      <c r="AE86" s="112"/>
      <c r="AF86" s="112"/>
      <c r="AG86" s="114"/>
      <c r="AH86" s="3"/>
      <c r="AI86" s="3"/>
    </row>
    <row r="87" spans="1:36" ht="15" customHeight="1" thickBot="1">
      <c r="A87" s="518">
        <v>79</v>
      </c>
      <c r="B87" s="555" t="s">
        <v>225</v>
      </c>
      <c r="C87" s="580">
        <v>2018020077</v>
      </c>
      <c r="D87" s="561">
        <v>43822</v>
      </c>
      <c r="E87" s="300" t="str">
        <f>'0115'!D1</f>
        <v>SUTISNO</v>
      </c>
      <c r="F87" s="551" t="str">
        <f>'0115'!$H$3</f>
        <v>081905429217</v>
      </c>
      <c r="G87" s="551" t="str">
        <f>'0115'!$D$3</f>
        <v>Larangan Jambe Kertasmaya</v>
      </c>
      <c r="H87" s="150">
        <f>'0115'!$L$50</f>
        <v>500000</v>
      </c>
      <c r="I87" s="150">
        <f>'0115'!$M$50</f>
        <v>650000</v>
      </c>
      <c r="J87" s="150"/>
      <c r="K87" s="150">
        <v>0</v>
      </c>
      <c r="L87" s="151">
        <v>0</v>
      </c>
      <c r="M87" s="151">
        <v>0</v>
      </c>
      <c r="N87" s="151">
        <v>0</v>
      </c>
      <c r="O87" s="151">
        <v>0</v>
      </c>
      <c r="P87" s="151">
        <v>0</v>
      </c>
      <c r="Q87" s="151"/>
      <c r="R87" s="151">
        <v>2481.7558910367106</v>
      </c>
      <c r="S87" s="150">
        <v>0</v>
      </c>
      <c r="T87" s="150">
        <f t="shared" si="39"/>
        <v>1150000</v>
      </c>
      <c r="U87" s="150">
        <f t="shared" si="40"/>
        <v>2481.7558910367106</v>
      </c>
      <c r="V87" s="542">
        <f t="shared" si="24"/>
        <v>1152481.7558910367</v>
      </c>
      <c r="W87" s="389"/>
      <c r="X87" s="422">
        <v>100000</v>
      </c>
      <c r="Y87" s="422">
        <v>100000</v>
      </c>
      <c r="Z87" s="112">
        <f>(T87/$T$180)*(1/12)*$Z$9*100%</f>
        <v>4085.347133897636</v>
      </c>
      <c r="AA87" s="624"/>
      <c r="AB87" s="112">
        <v>2481.7558910367106</v>
      </c>
      <c r="AC87" s="112"/>
      <c r="AD87" s="112"/>
      <c r="AE87" s="112"/>
      <c r="AF87" s="112"/>
      <c r="AG87" s="114"/>
      <c r="AH87" s="3"/>
      <c r="AI87" s="3"/>
    </row>
    <row r="88" spans="1:36" ht="15" customHeight="1" thickBot="1">
      <c r="A88" s="518">
        <v>80</v>
      </c>
      <c r="B88" s="555" t="s">
        <v>226</v>
      </c>
      <c r="C88" s="580">
        <v>2018020078</v>
      </c>
      <c r="D88" s="630">
        <v>43930</v>
      </c>
      <c r="E88" s="300" t="str">
        <f>'0116'!D1</f>
        <v>YAMAN SAFIKRI</v>
      </c>
      <c r="F88" s="551" t="str">
        <f>'0116'!$H$3</f>
        <v>087851366393</v>
      </c>
      <c r="G88" s="551" t="str">
        <f>'0116'!$D$3</f>
        <v>PERUM Sindang Citra Blok A No. 54</v>
      </c>
      <c r="H88" s="150">
        <f>'0116'!$L$50</f>
        <v>500000</v>
      </c>
      <c r="I88" s="150">
        <f>'0116'!$M$50</f>
        <v>300000</v>
      </c>
      <c r="J88" s="150"/>
      <c r="K88" s="150">
        <f>'0116'!$N$50</f>
        <v>150000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/>
      <c r="R88" s="151"/>
      <c r="S88" s="150">
        <v>0</v>
      </c>
      <c r="T88" s="150">
        <f t="shared" ref="T88" si="41">H88+I88</f>
        <v>800000</v>
      </c>
      <c r="U88" s="150">
        <f t="shared" ref="U88" si="42">SUM(K88:S88)</f>
        <v>150000</v>
      </c>
      <c r="V88" s="542">
        <f t="shared" ref="V88" si="43">(H88+I88+K88+L88+M88+N88+O88+Q88+P88+R88)-S88</f>
        <v>950000</v>
      </c>
      <c r="W88" s="389"/>
      <c r="X88" s="422">
        <v>100000</v>
      </c>
      <c r="Y88" s="422">
        <v>100000</v>
      </c>
      <c r="Z88" s="112"/>
      <c r="AA88" s="624"/>
      <c r="AB88" s="112"/>
      <c r="AC88" s="112"/>
      <c r="AD88" s="112"/>
      <c r="AE88" s="112"/>
      <c r="AF88" s="112"/>
      <c r="AG88" s="114"/>
      <c r="AH88" s="3"/>
      <c r="AI88" s="3"/>
    </row>
    <row r="89" spans="1:36" ht="15" customHeight="1" thickBot="1">
      <c r="A89" s="518">
        <v>81</v>
      </c>
      <c r="B89" s="555" t="s">
        <v>227</v>
      </c>
      <c r="C89" s="580">
        <v>2018020079</v>
      </c>
      <c r="D89" s="630">
        <v>43931</v>
      </c>
      <c r="E89" s="300" t="str">
        <f>'0117'!$D$1</f>
        <v>GUSTI DWI MAULANA</v>
      </c>
      <c r="F89" s="551" t="str">
        <f>'0117'!$H$3</f>
        <v>085220227907</v>
      </c>
      <c r="G89" s="551" t="str">
        <f>'0117'!$D$3</f>
        <v>Jl. P. Dharma Kusuma No 04 Sindang</v>
      </c>
      <c r="H89" s="150">
        <f>'0117'!$L$50</f>
        <v>500000</v>
      </c>
      <c r="I89" s="150">
        <f>'0117'!$M$50</f>
        <v>50000</v>
      </c>
      <c r="J89" s="150"/>
      <c r="K89" s="150">
        <v>0</v>
      </c>
      <c r="L89" s="151">
        <v>0</v>
      </c>
      <c r="M89" s="151">
        <v>0</v>
      </c>
      <c r="N89" s="151">
        <v>0</v>
      </c>
      <c r="O89" s="151">
        <v>0</v>
      </c>
      <c r="P89" s="151">
        <v>0</v>
      </c>
      <c r="Q89" s="151"/>
      <c r="R89" s="151"/>
      <c r="S89" s="150">
        <v>0</v>
      </c>
      <c r="T89" s="150">
        <f t="shared" ref="T89" si="44">H89+I89</f>
        <v>550000</v>
      </c>
      <c r="U89" s="150">
        <f t="shared" ref="U89" si="45">SUM(K89:S89)</f>
        <v>0</v>
      </c>
      <c r="V89" s="542">
        <f t="shared" ref="V89" si="46">(H89+I89+K89+L89+M89+N89+O89+Q89+P89+R89)-S89</f>
        <v>550000</v>
      </c>
      <c r="W89" s="389"/>
      <c r="X89" s="422">
        <v>100000</v>
      </c>
      <c r="Y89" s="422">
        <v>100000</v>
      </c>
      <c r="Z89" s="112"/>
      <c r="AA89" s="624"/>
      <c r="AB89" s="112"/>
      <c r="AC89" s="112"/>
      <c r="AD89" s="112"/>
      <c r="AE89" s="112"/>
      <c r="AF89" s="112"/>
      <c r="AG89" s="114"/>
      <c r="AH89" s="3"/>
      <c r="AI89" s="3"/>
    </row>
    <row r="90" spans="1:36" ht="15" customHeight="1" thickBot="1">
      <c r="A90" s="518">
        <v>82</v>
      </c>
      <c r="B90" s="555" t="s">
        <v>228</v>
      </c>
      <c r="C90" s="580">
        <v>2018020080</v>
      </c>
      <c r="D90" s="630">
        <v>43977</v>
      </c>
      <c r="E90" s="300" t="str">
        <f>'0118'!$D$1</f>
        <v>RATNA JUITA</v>
      </c>
      <c r="F90" s="551" t="str">
        <f>'0118'!$H$3</f>
        <v>081214929464</v>
      </c>
      <c r="G90" s="551" t="str">
        <f>'0118'!$D$3</f>
        <v xml:space="preserve">Jl. Letjen Suprapto Belakang Masjid Annur </v>
      </c>
      <c r="H90" s="150">
        <f>'0118'!$L$50</f>
        <v>500000</v>
      </c>
      <c r="I90" s="150">
        <f>'0118'!$M$50</f>
        <v>50000</v>
      </c>
      <c r="J90" s="150"/>
      <c r="K90" s="150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/>
      <c r="R90" s="151"/>
      <c r="S90" s="150">
        <v>0</v>
      </c>
      <c r="T90" s="150">
        <f t="shared" ref="T90" si="47">H90+I90</f>
        <v>550000</v>
      </c>
      <c r="U90" s="150">
        <f t="shared" ref="U90" si="48">SUM(K90:S90)</f>
        <v>0</v>
      </c>
      <c r="V90" s="542">
        <f t="shared" ref="V90" si="49">(H90+I90+K90+L90+M90+N90+O90+Q90+P90+R90)-S90</f>
        <v>550000</v>
      </c>
      <c r="W90" s="389"/>
      <c r="X90" s="422">
        <v>100000</v>
      </c>
      <c r="Y90" s="422">
        <v>100000</v>
      </c>
      <c r="Z90" s="112"/>
      <c r="AA90" s="624"/>
      <c r="AB90" s="112"/>
      <c r="AC90" s="112"/>
      <c r="AD90" s="112"/>
      <c r="AE90" s="112"/>
      <c r="AF90" s="112"/>
      <c r="AG90" s="114"/>
      <c r="AH90" s="3"/>
      <c r="AI90" s="3"/>
    </row>
    <row r="91" spans="1:36" ht="15" customHeight="1" thickBot="1">
      <c r="A91" s="518">
        <v>83</v>
      </c>
      <c r="B91" s="555" t="s">
        <v>229</v>
      </c>
      <c r="C91" s="580">
        <v>2018020081</v>
      </c>
      <c r="D91" s="630">
        <v>43990</v>
      </c>
      <c r="E91" s="300" t="str">
        <f>'0119'!$D$1</f>
        <v>JHODY APSYA RIZKIANA</v>
      </c>
      <c r="F91" s="551" t="str">
        <f>'0119'!$H$3</f>
        <v>085224601050</v>
      </c>
      <c r="G91" s="551" t="str">
        <f>'0119'!$D$3</f>
        <v xml:space="preserve">Jl. Siapem III No. 12 RT 02/05 </v>
      </c>
      <c r="H91" s="150">
        <f>'0119'!$L$50</f>
        <v>500000</v>
      </c>
      <c r="I91" s="150">
        <f>'0119'!$M$50</f>
        <v>250000</v>
      </c>
      <c r="J91" s="150"/>
      <c r="K91" s="150">
        <v>0</v>
      </c>
      <c r="L91" s="151">
        <v>0</v>
      </c>
      <c r="M91" s="151">
        <v>0</v>
      </c>
      <c r="N91" s="151">
        <v>0</v>
      </c>
      <c r="O91" s="151">
        <v>0</v>
      </c>
      <c r="P91" s="151">
        <v>0</v>
      </c>
      <c r="Q91" s="151"/>
      <c r="R91" s="151"/>
      <c r="S91" s="150">
        <v>0</v>
      </c>
      <c r="T91" s="150">
        <f t="shared" ref="T91" si="50">H91+I91</f>
        <v>750000</v>
      </c>
      <c r="U91" s="150">
        <f t="shared" ref="U91" si="51">SUM(K91:S91)</f>
        <v>0</v>
      </c>
      <c r="V91" s="542">
        <f t="shared" ref="V91" si="52">(H91+I91+K91+L91+M91+N91+O91+Q91+P91+R91)-S91</f>
        <v>750000</v>
      </c>
      <c r="W91" s="389"/>
      <c r="X91" s="422">
        <v>100000</v>
      </c>
      <c r="Y91" s="422">
        <v>100000</v>
      </c>
      <c r="Z91" s="112"/>
      <c r="AA91" s="624"/>
      <c r="AB91" s="112"/>
      <c r="AC91" s="112"/>
      <c r="AD91" s="112"/>
      <c r="AE91" s="112"/>
      <c r="AF91" s="112"/>
      <c r="AG91" s="114"/>
      <c r="AH91" s="3"/>
      <c r="AI91" s="3"/>
    </row>
    <row r="92" spans="1:36" ht="15" customHeight="1" thickBot="1">
      <c r="A92" s="518">
        <v>84</v>
      </c>
      <c r="B92" s="555" t="s">
        <v>230</v>
      </c>
      <c r="C92" s="580">
        <v>2018020082</v>
      </c>
      <c r="D92" s="561">
        <v>43975</v>
      </c>
      <c r="E92" s="300" t="str">
        <f>'0120'!$D$1</f>
        <v>TITING SUHARTINI</v>
      </c>
      <c r="F92" s="551" t="str">
        <f>'0120'!$H$3</f>
        <v>081223362426</v>
      </c>
      <c r="G92" s="551" t="str">
        <f>'0120'!$D$3</f>
        <v>MARGA MEKAR JL G. BROMO</v>
      </c>
      <c r="H92" s="150">
        <f>'0120'!$L$50</f>
        <v>500000</v>
      </c>
      <c r="I92" s="150">
        <f>'0120'!$M$50</f>
        <v>100000</v>
      </c>
      <c r="J92" s="150"/>
      <c r="K92" s="150">
        <v>0</v>
      </c>
      <c r="L92" s="151">
        <v>0</v>
      </c>
      <c r="M92" s="151">
        <v>0</v>
      </c>
      <c r="N92" s="151">
        <v>0</v>
      </c>
      <c r="O92" s="151">
        <v>0</v>
      </c>
      <c r="P92" s="151">
        <v>0</v>
      </c>
      <c r="Q92" s="151"/>
      <c r="R92" s="151">
        <v>2707.3700629491395</v>
      </c>
      <c r="S92" s="150">
        <v>0</v>
      </c>
      <c r="T92" s="150">
        <f t="shared" ref="T92" si="53">H92+I92</f>
        <v>600000</v>
      </c>
      <c r="U92" s="150">
        <f t="shared" ref="U92" si="54">SUM(K92:S92)</f>
        <v>2707.3700629491395</v>
      </c>
      <c r="V92" s="542">
        <f t="shared" si="24"/>
        <v>602707.37006294914</v>
      </c>
      <c r="W92" s="389"/>
      <c r="X92" s="422">
        <v>100000</v>
      </c>
      <c r="Y92" s="422">
        <v>100000</v>
      </c>
      <c r="Z92" s="112">
        <f t="shared" ref="Z92:Z101" si="55">(T92/$T$180)*(12/12)*$Z$9*100%</f>
        <v>25577.825533967811</v>
      </c>
      <c r="AA92" s="116"/>
      <c r="AB92" s="112">
        <v>2707.3700629491395</v>
      </c>
      <c r="AC92" s="112"/>
      <c r="AD92" s="112"/>
      <c r="AE92" s="112"/>
      <c r="AF92" s="112"/>
      <c r="AG92" s="114"/>
      <c r="AH92" s="3"/>
      <c r="AI92" s="3"/>
    </row>
    <row r="93" spans="1:36" ht="15" customHeight="1" thickBot="1">
      <c r="A93" s="518">
        <v>85</v>
      </c>
      <c r="B93" s="555" t="s">
        <v>231</v>
      </c>
      <c r="C93" s="580">
        <v>2018020083</v>
      </c>
      <c r="D93" s="561">
        <v>44018</v>
      </c>
      <c r="E93" s="300" t="str">
        <f>'0121'!$D$1</f>
        <v xml:space="preserve">PIPIT FITRIYAH </v>
      </c>
      <c r="F93" s="551" t="str">
        <f>'0121'!$H$3</f>
        <v>085224601050</v>
      </c>
      <c r="G93" s="551" t="str">
        <f>'0121'!$D$3</f>
        <v>Jl, Manunggal RT012 RW 003</v>
      </c>
      <c r="H93" s="150">
        <f>'0121'!$L$50</f>
        <v>500000</v>
      </c>
      <c r="I93" s="150">
        <f>'0121'!$M$50</f>
        <v>50000</v>
      </c>
      <c r="J93" s="150"/>
      <c r="K93" s="150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/>
      <c r="R93" s="151"/>
      <c r="S93" s="150">
        <v>0</v>
      </c>
      <c r="T93" s="150">
        <f t="shared" ref="T93" si="56">H93+I93</f>
        <v>550000</v>
      </c>
      <c r="U93" s="150">
        <f t="shared" ref="U93" si="57">SUM(K93:S93)</f>
        <v>0</v>
      </c>
      <c r="V93" s="542">
        <f t="shared" ref="V93" si="58">(H93+I93+K93+L93+M93+N93+O93+Q93+P93+R93)-S93</f>
        <v>550000</v>
      </c>
      <c r="W93" s="389"/>
      <c r="X93" s="422">
        <v>100000</v>
      </c>
      <c r="Y93" s="422">
        <v>100000</v>
      </c>
      <c r="Z93" s="112"/>
      <c r="AA93" s="116"/>
      <c r="AB93" s="112"/>
      <c r="AC93" s="112"/>
      <c r="AD93" s="112"/>
      <c r="AE93" s="112"/>
      <c r="AF93" s="112"/>
      <c r="AG93" s="114"/>
      <c r="AH93" s="3"/>
      <c r="AI93" s="3"/>
    </row>
    <row r="94" spans="1:36" ht="15" customHeight="1" thickBot="1">
      <c r="A94" s="518">
        <v>86</v>
      </c>
      <c r="B94" s="555" t="s">
        <v>232</v>
      </c>
      <c r="C94" s="580">
        <v>2018020084</v>
      </c>
      <c r="D94" s="561">
        <v>44059</v>
      </c>
      <c r="E94" s="300" t="str">
        <f>'0122'!$D$1</f>
        <v>MAHRUS MA'SUM, SAg.</v>
      </c>
      <c r="F94" s="551" t="str">
        <f>'0122'!$H$3</f>
        <v>081320759028</v>
      </c>
      <c r="G94" s="551" t="str">
        <f>'0122'!$D$3</f>
        <v>Jl. Raya Pekandangan RT 003/002</v>
      </c>
      <c r="H94" s="150">
        <f>'0122'!$L$50</f>
        <v>500000</v>
      </c>
      <c r="I94" s="150">
        <f>'0122'!$M$50</f>
        <v>50000</v>
      </c>
      <c r="J94" s="150"/>
      <c r="K94" s="150">
        <v>0</v>
      </c>
      <c r="L94" s="151">
        <v>0</v>
      </c>
      <c r="M94" s="151">
        <v>0</v>
      </c>
      <c r="N94" s="151">
        <v>0</v>
      </c>
      <c r="O94" s="151">
        <v>0</v>
      </c>
      <c r="P94" s="151">
        <v>0</v>
      </c>
      <c r="Q94" s="151"/>
      <c r="R94" s="151"/>
      <c r="S94" s="150">
        <v>0</v>
      </c>
      <c r="T94" s="150">
        <f t="shared" ref="T94" si="59">H94+I94</f>
        <v>550000</v>
      </c>
      <c r="U94" s="150">
        <f t="shared" ref="U94" si="60">SUM(K94:S94)</f>
        <v>0</v>
      </c>
      <c r="V94" s="542">
        <f t="shared" ref="V94" si="61">(H94+I94+K94+L94+M94+N94+O94+Q94+P94+R94)-S94</f>
        <v>550000</v>
      </c>
      <c r="W94" s="389"/>
      <c r="X94" s="422">
        <v>100000</v>
      </c>
      <c r="Y94" s="422">
        <v>100000</v>
      </c>
      <c r="Z94" s="112"/>
      <c r="AA94" s="116"/>
      <c r="AB94" s="112"/>
      <c r="AC94" s="112"/>
      <c r="AD94" s="112"/>
      <c r="AE94" s="112"/>
      <c r="AF94" s="112"/>
      <c r="AG94" s="114"/>
      <c r="AH94" s="3"/>
      <c r="AI94" s="3"/>
    </row>
    <row r="95" spans="1:36" ht="15" customHeight="1" thickBot="1">
      <c r="A95" s="518">
        <v>87</v>
      </c>
      <c r="B95" s="517" t="s">
        <v>233</v>
      </c>
      <c r="C95" s="580">
        <v>2018020085</v>
      </c>
      <c r="D95" s="561">
        <v>44137</v>
      </c>
      <c r="E95" s="300" t="str">
        <f>'0123'!$D$1</f>
        <v>DIYAN</v>
      </c>
      <c r="F95" s="551" t="str">
        <f>'0123'!$H$3</f>
        <v>089505230367</v>
      </c>
      <c r="G95" s="551" t="str">
        <f>'0123'!$D$3</f>
        <v>JAGANG KIDUL 004/003 SALAM MAGELANG</v>
      </c>
      <c r="H95" s="150">
        <f>'0123'!$L$50</f>
        <v>500000</v>
      </c>
      <c r="I95" s="150">
        <f>'0123'!$M$50</f>
        <v>50000</v>
      </c>
      <c r="J95" s="150"/>
      <c r="K95" s="150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/>
      <c r="R95" s="151"/>
      <c r="S95" s="150">
        <v>0</v>
      </c>
      <c r="T95" s="150">
        <f t="shared" ref="T95" si="62">H95+I95</f>
        <v>550000</v>
      </c>
      <c r="U95" s="150">
        <f t="shared" ref="U95" si="63">SUM(K95:S95)</f>
        <v>0</v>
      </c>
      <c r="V95" s="542">
        <f t="shared" ref="V95" si="64">(H95+I95+K95+L95+M95+N95+O95+Q95+P95+R95)-S95</f>
        <v>550000</v>
      </c>
      <c r="W95" s="389"/>
      <c r="X95" s="422">
        <v>100000</v>
      </c>
      <c r="Y95" s="422">
        <v>100000</v>
      </c>
      <c r="Z95" s="112"/>
      <c r="AA95" s="116"/>
      <c r="AB95" s="112"/>
      <c r="AC95" s="112"/>
      <c r="AD95" s="112"/>
      <c r="AE95" s="112"/>
      <c r="AF95" s="112"/>
      <c r="AG95" s="114"/>
      <c r="AH95" s="3"/>
      <c r="AI95" s="3"/>
    </row>
    <row r="96" spans="1:36" s="152" customFormat="1" ht="15" customHeight="1" thickBot="1">
      <c r="A96" s="473">
        <v>1</v>
      </c>
      <c r="B96" s="636" t="s">
        <v>77</v>
      </c>
      <c r="C96" s="473"/>
      <c r="D96" s="593">
        <v>40663</v>
      </c>
      <c r="E96" s="299" t="s">
        <v>85</v>
      </c>
      <c r="F96" s="164" t="s">
        <v>86</v>
      </c>
      <c r="G96" s="146" t="s">
        <v>84</v>
      </c>
      <c r="H96" s="146">
        <f>'0016'!$L$30</f>
        <v>200000</v>
      </c>
      <c r="I96" s="146">
        <f>'0016'!$M$30</f>
        <v>120000</v>
      </c>
      <c r="J96" s="146"/>
      <c r="K96" s="146">
        <f>'0016'!$N$30</f>
        <v>0</v>
      </c>
      <c r="L96" s="147">
        <v>25402.655038401623</v>
      </c>
      <c r="M96" s="147">
        <v>33683.024104982003</v>
      </c>
      <c r="N96" s="147">
        <v>19416.159717014787</v>
      </c>
      <c r="O96" s="147">
        <v>15507.833015975551</v>
      </c>
      <c r="P96" s="147">
        <v>20249.067049345729</v>
      </c>
      <c r="Q96" s="147">
        <v>31603.561938902199</v>
      </c>
      <c r="R96" s="147">
        <v>17327.168402874493</v>
      </c>
      <c r="S96" s="146">
        <v>0</v>
      </c>
      <c r="T96" s="146">
        <f t="shared" ref="T96:T101" si="65">H96+I96</f>
        <v>320000</v>
      </c>
      <c r="U96" s="146">
        <f t="shared" ref="U96:U101" si="66">SUM(K96:S96)</f>
        <v>163189.4692674964</v>
      </c>
      <c r="V96" s="542">
        <f t="shared" si="24"/>
        <v>483189.46926749637</v>
      </c>
      <c r="W96" s="390"/>
      <c r="X96" s="391">
        <v>0</v>
      </c>
      <c r="Y96" s="392">
        <v>0</v>
      </c>
      <c r="Z96" s="112">
        <f t="shared" si="55"/>
        <v>13641.506951449499</v>
      </c>
      <c r="AA96" s="116"/>
      <c r="AB96" s="112">
        <v>17327.168402874493</v>
      </c>
      <c r="AC96" s="112">
        <f t="shared" ref="AC96:AC108" si="67">(V96/$V$181)*(12/12)*$AC$9*100%</f>
        <v>0</v>
      </c>
      <c r="AD96" s="112">
        <f>(V96/$W$181)*(12/12)*$AD$9*100%</f>
        <v>19780.573714239115</v>
      </c>
      <c r="AE96" s="112">
        <v>15507.833015975551</v>
      </c>
      <c r="AF96" s="112">
        <f t="shared" ref="AF96:AF101" si="68">AC96+AD96</f>
        <v>19780.573714239115</v>
      </c>
      <c r="AG96" s="373" t="s">
        <v>584</v>
      </c>
      <c r="AH96" s="373"/>
      <c r="AI96" s="377">
        <f>AI37*5%</f>
        <v>0</v>
      </c>
      <c r="AJ96" s="2"/>
    </row>
    <row r="97" spans="1:36" ht="15" customHeight="1" thickBot="1">
      <c r="A97" s="473">
        <v>2</v>
      </c>
      <c r="B97" s="473" t="s">
        <v>137</v>
      </c>
      <c r="C97" s="473"/>
      <c r="D97" s="593">
        <v>40709</v>
      </c>
      <c r="E97" s="299" t="s">
        <v>270</v>
      </c>
      <c r="F97" s="164" t="s">
        <v>271</v>
      </c>
      <c r="G97" s="146" t="s">
        <v>265</v>
      </c>
      <c r="H97" s="146">
        <f>'0027'!$L$50</f>
        <v>200000</v>
      </c>
      <c r="I97" s="146">
        <f>'0027'!$M$50</f>
        <v>100000</v>
      </c>
      <c r="J97" s="146"/>
      <c r="K97" s="146">
        <f>'0027'!$N$50</f>
        <v>0</v>
      </c>
      <c r="L97" s="147">
        <v>23814.989098501523</v>
      </c>
      <c r="M97" s="147">
        <v>31577.835098420634</v>
      </c>
      <c r="N97" s="147">
        <v>16614.879517193891</v>
      </c>
      <c r="O97" s="147">
        <v>13270.429420056831</v>
      </c>
      <c r="P97" s="147">
        <v>17327.618554025092</v>
      </c>
      <c r="Q97" s="147">
        <v>29628.339317720816</v>
      </c>
      <c r="R97" s="147">
        <v>16244.220377694837</v>
      </c>
      <c r="S97" s="146">
        <v>31000</v>
      </c>
      <c r="T97" s="146">
        <f t="shared" si="65"/>
        <v>300000</v>
      </c>
      <c r="U97" s="146">
        <f t="shared" si="66"/>
        <v>179478.31138361362</v>
      </c>
      <c r="V97" s="542">
        <f t="shared" si="24"/>
        <v>417478.3113836135</v>
      </c>
      <c r="W97" s="390"/>
      <c r="X97" s="391">
        <v>0</v>
      </c>
      <c r="Y97" s="392">
        <v>0</v>
      </c>
      <c r="Z97" s="112">
        <f t="shared" si="55"/>
        <v>12788.912766983905</v>
      </c>
      <c r="AA97" s="116"/>
      <c r="AB97" s="112">
        <v>16244.220377694837</v>
      </c>
      <c r="AC97" s="112">
        <f t="shared" si="67"/>
        <v>0</v>
      </c>
      <c r="AD97" s="112">
        <f>(V97/$W$181)*(12/12)*$AD$9*100%</f>
        <v>17090.522533403939</v>
      </c>
      <c r="AE97" s="112">
        <v>13270.429420056831</v>
      </c>
      <c r="AF97" s="112">
        <f t="shared" si="68"/>
        <v>17090.522533403939</v>
      </c>
      <c r="AG97" s="360" t="s">
        <v>585</v>
      </c>
      <c r="AH97" s="361"/>
      <c r="AI97" s="362">
        <v>525000</v>
      </c>
      <c r="AJ97" s="47"/>
    </row>
    <row r="98" spans="1:36" ht="15" customHeight="1" thickBot="1">
      <c r="A98" s="473">
        <v>4</v>
      </c>
      <c r="B98" s="473" t="s">
        <v>171</v>
      </c>
      <c r="C98" s="473"/>
      <c r="D98" s="593">
        <v>42054</v>
      </c>
      <c r="E98" s="299" t="str">
        <f>'0061'!D1</f>
        <v>SYARIF HIDAYATULLAH</v>
      </c>
      <c r="F98" s="365">
        <f>'0061'!$H$3</f>
        <v>0</v>
      </c>
      <c r="G98" s="146">
        <f>'0061'!$D$3</f>
        <v>0</v>
      </c>
      <c r="H98" s="146">
        <f>'0061'!L30</f>
        <v>200000</v>
      </c>
      <c r="I98" s="146">
        <f>'0061'!$M$30</f>
        <v>50000</v>
      </c>
      <c r="J98" s="146"/>
      <c r="K98" s="146">
        <f>'0061'!$N$30</f>
        <v>25000</v>
      </c>
      <c r="L98" s="146">
        <v>0</v>
      </c>
      <c r="M98" s="147">
        <v>0</v>
      </c>
      <c r="N98" s="147">
        <v>0</v>
      </c>
      <c r="O98" s="147">
        <v>7261.7124404291089</v>
      </c>
      <c r="P98" s="147">
        <v>13805.320814766108</v>
      </c>
      <c r="Q98" s="147">
        <v>24690.282764767348</v>
      </c>
      <c r="R98" s="147">
        <v>13536.850314745698</v>
      </c>
      <c r="S98" s="146">
        <v>0</v>
      </c>
      <c r="T98" s="146">
        <f t="shared" si="65"/>
        <v>250000</v>
      </c>
      <c r="U98" s="146">
        <f t="shared" si="66"/>
        <v>84294.166334708265</v>
      </c>
      <c r="V98" s="542">
        <f t="shared" si="24"/>
        <v>334294.16633470822</v>
      </c>
      <c r="W98" s="388"/>
      <c r="X98" s="391">
        <v>0</v>
      </c>
      <c r="Y98" s="392">
        <v>0</v>
      </c>
      <c r="Z98" s="112">
        <f t="shared" si="55"/>
        <v>10657.42730581992</v>
      </c>
      <c r="AA98" s="116"/>
      <c r="AB98" s="112">
        <v>13536.850314745698</v>
      </c>
      <c r="AC98" s="112">
        <f t="shared" si="67"/>
        <v>0</v>
      </c>
      <c r="AD98" s="10"/>
      <c r="AE98" s="112">
        <v>7261.7124404291089</v>
      </c>
      <c r="AF98" s="112">
        <f t="shared" si="68"/>
        <v>0</v>
      </c>
      <c r="AG98" s="3"/>
      <c r="AH98" s="3"/>
      <c r="AI98" s="3"/>
    </row>
    <row r="99" spans="1:36" ht="15" customHeight="1" thickBot="1">
      <c r="A99" s="473">
        <v>5</v>
      </c>
      <c r="B99" s="473" t="s">
        <v>131</v>
      </c>
      <c r="C99" s="473"/>
      <c r="D99" s="593">
        <v>40698</v>
      </c>
      <c r="E99" s="299" t="s">
        <v>251</v>
      </c>
      <c r="F99" s="164" t="s">
        <v>254</v>
      </c>
      <c r="G99" s="146" t="s">
        <v>257</v>
      </c>
      <c r="H99" s="146">
        <f>'0021'!$L$30</f>
        <v>200000</v>
      </c>
      <c r="I99" s="146">
        <f>'0021'!$M$30</f>
        <v>40000</v>
      </c>
      <c r="J99" s="146"/>
      <c r="K99" s="146">
        <f>'0021'!$N$30</f>
        <v>0</v>
      </c>
      <c r="L99" s="147">
        <v>19051.991278801215</v>
      </c>
      <c r="M99" s="147">
        <v>25262.268078736506</v>
      </c>
      <c r="N99" s="147">
        <v>14562.11978776109</v>
      </c>
      <c r="O99" s="147">
        <v>11630.874761981662</v>
      </c>
      <c r="P99" s="147">
        <v>15186.800287009295</v>
      </c>
      <c r="Q99" s="147">
        <v>23702.671454176649</v>
      </c>
      <c r="R99" s="147">
        <v>12995.37630215587</v>
      </c>
      <c r="S99" s="146">
        <v>0</v>
      </c>
      <c r="T99" s="146">
        <f t="shared" si="65"/>
        <v>240000</v>
      </c>
      <c r="U99" s="146">
        <f t="shared" si="66"/>
        <v>122392.10195062228</v>
      </c>
      <c r="V99" s="542">
        <f t="shared" si="24"/>
        <v>362392.10195062228</v>
      </c>
      <c r="W99" s="390"/>
      <c r="X99" s="391">
        <v>0</v>
      </c>
      <c r="Y99" s="392">
        <v>0</v>
      </c>
      <c r="Z99" s="112">
        <f t="shared" si="55"/>
        <v>10231.130213587123</v>
      </c>
      <c r="AA99" s="116"/>
      <c r="AB99" s="112">
        <v>12995.37630215587</v>
      </c>
      <c r="AC99" s="112">
        <f t="shared" si="67"/>
        <v>0</v>
      </c>
      <c r="AD99" s="112">
        <f>(V99/$W$181)*(12/12)*$AD$9*100%</f>
        <v>14835.430285679337</v>
      </c>
      <c r="AE99" s="112">
        <v>11630.874761981662</v>
      </c>
      <c r="AF99" s="112">
        <f t="shared" si="68"/>
        <v>14835.430285679337</v>
      </c>
      <c r="AG99" s="360" t="s">
        <v>683</v>
      </c>
      <c r="AH99" s="361"/>
      <c r="AI99" s="362">
        <v>3150000</v>
      </c>
    </row>
    <row r="100" spans="1:36" ht="15" customHeight="1" thickBot="1">
      <c r="A100" s="473">
        <v>6</v>
      </c>
      <c r="B100" s="473" t="s">
        <v>75</v>
      </c>
      <c r="C100" s="473"/>
      <c r="D100" s="593">
        <v>40658</v>
      </c>
      <c r="E100" s="299" t="s">
        <v>47</v>
      </c>
      <c r="F100" s="164" t="s">
        <v>48</v>
      </c>
      <c r="G100" s="146" t="s">
        <v>123</v>
      </c>
      <c r="H100" s="146">
        <f>'0014'!$L$30</f>
        <v>200000</v>
      </c>
      <c r="I100" s="146">
        <f>'0014'!$M$30</f>
        <v>20000</v>
      </c>
      <c r="J100" s="146"/>
      <c r="K100" s="146">
        <f>'0014'!$N$30</f>
        <v>0</v>
      </c>
      <c r="L100" s="147">
        <v>17464.325338901119</v>
      </c>
      <c r="M100" s="147">
        <v>23157.079072175129</v>
      </c>
      <c r="N100" s="147">
        <v>12170.586740845351</v>
      </c>
      <c r="O100" s="147">
        <v>9720.739303461718</v>
      </c>
      <c r="P100" s="147">
        <v>12692.676128394865</v>
      </c>
      <c r="Q100" s="147">
        <v>21727.448832995266</v>
      </c>
      <c r="R100" s="147">
        <v>11912.428276976212</v>
      </c>
      <c r="S100" s="146">
        <v>23000</v>
      </c>
      <c r="T100" s="146">
        <f t="shared" si="65"/>
        <v>220000</v>
      </c>
      <c r="U100" s="146">
        <f t="shared" si="66"/>
        <v>131845.28369374963</v>
      </c>
      <c r="V100" s="542">
        <f t="shared" si="24"/>
        <v>305845.28369374969</v>
      </c>
      <c r="W100" s="390"/>
      <c r="X100" s="391">
        <v>0</v>
      </c>
      <c r="Y100" s="392">
        <v>0</v>
      </c>
      <c r="Z100" s="112">
        <f t="shared" si="55"/>
        <v>9378.5360291215293</v>
      </c>
      <c r="AA100" s="116"/>
      <c r="AB100" s="112">
        <v>11912.428276976212</v>
      </c>
      <c r="AC100" s="112">
        <f t="shared" si="67"/>
        <v>0</v>
      </c>
      <c r="AD100" s="112">
        <f>(V100/$W$181)*(12/12)*$AD$9*100%</f>
        <v>12520.544349668742</v>
      </c>
      <c r="AE100" s="112">
        <v>9720.739303461718</v>
      </c>
      <c r="AF100" s="112">
        <f t="shared" si="68"/>
        <v>12520.544349668742</v>
      </c>
      <c r="AG100" s="373" t="s">
        <v>684</v>
      </c>
      <c r="AH100" s="373"/>
      <c r="AI100" s="377">
        <f>AI99*20%</f>
        <v>630000</v>
      </c>
    </row>
    <row r="101" spans="1:36" ht="15" customHeight="1" thickBot="1">
      <c r="A101" s="473">
        <v>8</v>
      </c>
      <c r="B101" s="473" t="s">
        <v>168</v>
      </c>
      <c r="C101" s="473"/>
      <c r="D101" s="593">
        <v>42043</v>
      </c>
      <c r="E101" s="299" t="str">
        <f>'0058'!D1</f>
        <v>FIRMAN</v>
      </c>
      <c r="F101" s="365" t="str">
        <f>'0058'!H3</f>
        <v>081912952897</v>
      </c>
      <c r="G101" s="146" t="str">
        <f>'0058'!D3</f>
        <v>JL. IR JUANDA No. 6</v>
      </c>
      <c r="H101" s="146">
        <f>'0058'!L30</f>
        <v>135000</v>
      </c>
      <c r="I101" s="146">
        <f>'0058'!$M$30</f>
        <v>0</v>
      </c>
      <c r="J101" s="146"/>
      <c r="K101" s="146">
        <f>'0058'!$N$30</f>
        <v>0</v>
      </c>
      <c r="L101" s="146">
        <v>0</v>
      </c>
      <c r="M101" s="147">
        <v>0</v>
      </c>
      <c r="N101" s="147">
        <v>0</v>
      </c>
      <c r="O101" s="147">
        <v>4514.8907781798371</v>
      </c>
      <c r="P101" s="147">
        <v>6579.0758707591876</v>
      </c>
      <c r="Q101" s="147">
        <v>13332.752692974369</v>
      </c>
      <c r="R101" s="147">
        <v>7309.8991699626758</v>
      </c>
      <c r="S101" s="146">
        <v>5000</v>
      </c>
      <c r="T101" s="146">
        <f t="shared" si="65"/>
        <v>135000</v>
      </c>
      <c r="U101" s="146">
        <f t="shared" si="66"/>
        <v>36736.61851187607</v>
      </c>
      <c r="V101" s="542">
        <f t="shared" si="24"/>
        <v>161736.61851187606</v>
      </c>
      <c r="W101" s="388"/>
      <c r="X101" s="391">
        <v>0</v>
      </c>
      <c r="Y101" s="392">
        <v>0</v>
      </c>
      <c r="Z101" s="112">
        <f t="shared" si="55"/>
        <v>5755.0107451427575</v>
      </c>
      <c r="AB101" s="112">
        <v>7309.8991699626758</v>
      </c>
      <c r="AC101" s="112">
        <f t="shared" si="67"/>
        <v>0</v>
      </c>
      <c r="AD101" s="10"/>
      <c r="AE101" s="112">
        <v>4514.8907781798371</v>
      </c>
      <c r="AF101" s="112">
        <f t="shared" si="68"/>
        <v>0</v>
      </c>
      <c r="AG101" s="3"/>
      <c r="AH101" s="3"/>
      <c r="AI101" s="3"/>
    </row>
    <row r="102" spans="1:36" ht="15" hidden="1" customHeight="1" thickBot="1">
      <c r="A102" s="395">
        <v>1</v>
      </c>
      <c r="B102" s="395" t="s">
        <v>187</v>
      </c>
      <c r="C102" s="395"/>
      <c r="D102" s="590">
        <v>42553</v>
      </c>
      <c r="E102" s="396" t="str">
        <f>'0077'!$D$1</f>
        <v>KHUSEN</v>
      </c>
      <c r="F102" s="449"/>
      <c r="G102" s="398" t="str">
        <f>'0077'!$D$3</f>
        <v>Desa Krasak</v>
      </c>
      <c r="H102" s="398">
        <f>'0077'!$L$28</f>
        <v>0</v>
      </c>
      <c r="I102" s="398">
        <f>'0077'!$M$48</f>
        <v>100000</v>
      </c>
      <c r="J102" s="398"/>
      <c r="K102" s="398">
        <f>'0077'!$N$48</f>
        <v>0</v>
      </c>
      <c r="L102" s="398">
        <v>0</v>
      </c>
      <c r="M102" s="399">
        <v>0</v>
      </c>
      <c r="N102" s="399">
        <v>0</v>
      </c>
      <c r="O102" s="399">
        <v>0</v>
      </c>
      <c r="P102" s="399">
        <v>4890.9647346094453</v>
      </c>
      <c r="Q102" s="399"/>
      <c r="R102" s="399"/>
      <c r="S102" s="398">
        <v>104890.96473460944</v>
      </c>
      <c r="T102" s="398"/>
      <c r="U102" s="398">
        <f t="shared" ref="U102:U108" si="69">SUM(K102:S102)</f>
        <v>109781.92946921889</v>
      </c>
      <c r="V102" s="399">
        <f t="shared" ref="V102:V108" si="70">(H102+I102+K102+L102+M102+N102+O102+P102)-S102</f>
        <v>0</v>
      </c>
      <c r="W102" s="400"/>
      <c r="X102" s="401">
        <v>0</v>
      </c>
      <c r="Y102" s="402">
        <v>0</v>
      </c>
      <c r="Z102" s="116"/>
      <c r="AA102" s="116"/>
      <c r="AB102" s="112">
        <v>0</v>
      </c>
      <c r="AC102" s="112">
        <f t="shared" si="67"/>
        <v>0</v>
      </c>
      <c r="AD102" s="10"/>
      <c r="AE102" s="112">
        <v>0</v>
      </c>
      <c r="AF102" s="112">
        <f t="shared" ref="AF102:AF108" si="71">AC102+AD102</f>
        <v>0</v>
      </c>
    </row>
    <row r="103" spans="1:36" ht="15" hidden="1" customHeight="1" thickBot="1">
      <c r="A103" s="395">
        <v>2</v>
      </c>
      <c r="B103" s="395" t="s">
        <v>185</v>
      </c>
      <c r="C103" s="395"/>
      <c r="D103" s="590">
        <v>42318</v>
      </c>
      <c r="E103" s="396" t="str">
        <f>'0075'!$D$1</f>
        <v>MUHAMMAD ABD. GHONI</v>
      </c>
      <c r="F103" s="449"/>
      <c r="G103" s="398" t="str">
        <f>'0075'!$D$3</f>
        <v>KALIMATI</v>
      </c>
      <c r="H103" s="398">
        <f>'0075'!$L$28</f>
        <v>0</v>
      </c>
      <c r="I103" s="398">
        <f>'0075'!$M$28</f>
        <v>25000</v>
      </c>
      <c r="J103" s="398"/>
      <c r="K103" s="398">
        <f>'0075'!$N$28</f>
        <v>70000</v>
      </c>
      <c r="L103" s="398">
        <v>0</v>
      </c>
      <c r="M103" s="399">
        <v>0</v>
      </c>
      <c r="N103" s="399">
        <v>0</v>
      </c>
      <c r="O103" s="399">
        <v>347.29929062921815</v>
      </c>
      <c r="P103" s="399">
        <v>4663.4027837071962</v>
      </c>
      <c r="Q103" s="399"/>
      <c r="R103" s="399"/>
      <c r="S103" s="398">
        <v>100010.70207433641</v>
      </c>
      <c r="T103" s="398"/>
      <c r="U103" s="398">
        <f t="shared" si="69"/>
        <v>175021.40414867282</v>
      </c>
      <c r="V103" s="399">
        <f t="shared" si="70"/>
        <v>0</v>
      </c>
      <c r="W103" s="400"/>
      <c r="X103" s="401">
        <v>0</v>
      </c>
      <c r="Y103" s="402">
        <v>0</v>
      </c>
      <c r="Z103" s="116"/>
      <c r="AA103" s="116"/>
      <c r="AB103" s="112">
        <v>0</v>
      </c>
      <c r="AC103" s="112">
        <f t="shared" si="67"/>
        <v>0</v>
      </c>
      <c r="AD103" s="10"/>
      <c r="AE103" s="112">
        <v>347.29929062921815</v>
      </c>
      <c r="AF103" s="112">
        <f t="shared" si="71"/>
        <v>0</v>
      </c>
    </row>
    <row r="104" spans="1:36" ht="15" hidden="1" customHeight="1" thickBot="1">
      <c r="A104" s="395">
        <v>3</v>
      </c>
      <c r="B104" s="395" t="s">
        <v>180</v>
      </c>
      <c r="C104" s="395"/>
      <c r="D104" s="590">
        <v>42258</v>
      </c>
      <c r="E104" s="396" t="str">
        <f>'0070'!$D$1</f>
        <v>M. GOZALI</v>
      </c>
      <c r="F104" s="449"/>
      <c r="G104" s="398" t="str">
        <f>'0070'!$D$3</f>
        <v>INDRAMAYU</v>
      </c>
      <c r="H104" s="398">
        <f>'0070'!$L$30</f>
        <v>0</v>
      </c>
      <c r="I104" s="398">
        <f>'0070'!$H$48</f>
        <v>75000</v>
      </c>
      <c r="J104" s="398"/>
      <c r="K104" s="398">
        <f>'0070'!$N$30</f>
        <v>0</v>
      </c>
      <c r="L104" s="398">
        <v>0</v>
      </c>
      <c r="M104" s="399">
        <v>0</v>
      </c>
      <c r="N104" s="399">
        <v>0</v>
      </c>
      <c r="O104" s="399">
        <v>236.79497088355788</v>
      </c>
      <c r="P104" s="399">
        <v>3679.8051094763273</v>
      </c>
      <c r="Q104" s="399"/>
      <c r="R104" s="399"/>
      <c r="S104" s="398">
        <v>78916.600080359873</v>
      </c>
      <c r="T104" s="398"/>
      <c r="U104" s="398">
        <f t="shared" si="69"/>
        <v>82833.20016071976</v>
      </c>
      <c r="V104" s="399">
        <f t="shared" si="70"/>
        <v>0</v>
      </c>
      <c r="W104" s="400"/>
      <c r="X104" s="401">
        <v>0</v>
      </c>
      <c r="Y104" s="402">
        <v>0</v>
      </c>
      <c r="Z104" s="116"/>
      <c r="AA104" s="116"/>
      <c r="AB104" s="112">
        <v>0</v>
      </c>
      <c r="AC104" s="112">
        <f t="shared" si="67"/>
        <v>0</v>
      </c>
      <c r="AD104" s="10"/>
      <c r="AE104" s="112">
        <v>236.79497088355788</v>
      </c>
      <c r="AF104" s="112">
        <f t="shared" si="71"/>
        <v>0</v>
      </c>
    </row>
    <row r="105" spans="1:36" ht="15" hidden="1" customHeight="1" thickBot="1">
      <c r="A105" s="395">
        <v>4</v>
      </c>
      <c r="B105" s="395" t="s">
        <v>154</v>
      </c>
      <c r="C105" s="395"/>
      <c r="D105" s="590">
        <v>41446</v>
      </c>
      <c r="E105" s="396" t="s">
        <v>451</v>
      </c>
      <c r="F105" s="397" t="s">
        <v>455</v>
      </c>
      <c r="G105" s="398" t="s">
        <v>475</v>
      </c>
      <c r="H105" s="398">
        <f>'0044'!$L$30</f>
        <v>0</v>
      </c>
      <c r="I105" s="398">
        <f>'0044'!$M$30</f>
        <v>50000</v>
      </c>
      <c r="J105" s="398"/>
      <c r="K105" s="398">
        <f>'0044'!$N$30</f>
        <v>0</v>
      </c>
      <c r="L105" s="398">
        <v>0</v>
      </c>
      <c r="M105" s="399">
        <v>2573.5402949177005</v>
      </c>
      <c r="N105" s="399">
        <v>2692.7323067483671</v>
      </c>
      <c r="O105" s="399">
        <v>2150.7055760971384</v>
      </c>
      <c r="P105" s="399">
        <v>2808.2441543527993</v>
      </c>
      <c r="Q105" s="399"/>
      <c r="R105" s="399"/>
      <c r="S105" s="398">
        <v>60225.222332116005</v>
      </c>
      <c r="T105" s="398"/>
      <c r="U105" s="398">
        <f t="shared" si="69"/>
        <v>70450.444664232011</v>
      </c>
      <c r="V105" s="399">
        <f t="shared" si="70"/>
        <v>0</v>
      </c>
      <c r="W105" s="400"/>
      <c r="X105" s="401">
        <v>0</v>
      </c>
      <c r="Y105" s="402">
        <v>0</v>
      </c>
      <c r="Z105" s="116"/>
      <c r="AA105" s="116"/>
      <c r="AB105" s="112">
        <v>0</v>
      </c>
      <c r="AC105" s="112">
        <f t="shared" si="67"/>
        <v>0</v>
      </c>
      <c r="AD105" s="112">
        <f>(V105/$W$181)*(12/12)*$AD$9*100%</f>
        <v>0</v>
      </c>
      <c r="AE105" s="112">
        <v>2150.7055760971384</v>
      </c>
      <c r="AF105" s="112">
        <f t="shared" si="71"/>
        <v>0</v>
      </c>
      <c r="AG105" s="118"/>
      <c r="AH105" s="118"/>
      <c r="AI105" s="118"/>
      <c r="AJ105" s="152"/>
    </row>
    <row r="106" spans="1:36" ht="15" hidden="1" customHeight="1" thickBot="1">
      <c r="A106" s="395">
        <v>5</v>
      </c>
      <c r="B106" s="395" t="s">
        <v>179</v>
      </c>
      <c r="C106" s="395"/>
      <c r="D106" s="590">
        <v>42196</v>
      </c>
      <c r="E106" s="396" t="str">
        <f>'0069'!$D$1</f>
        <v>EKY ZAKARIA</v>
      </c>
      <c r="F106" s="449"/>
      <c r="G106" s="398" t="str">
        <f>'0069'!$D$3</f>
        <v>AKAMIGAS</v>
      </c>
      <c r="H106" s="398">
        <f>'0069'!$L$30</f>
        <v>0</v>
      </c>
      <c r="I106" s="398">
        <f>'0069'!$H$48</f>
        <v>50000</v>
      </c>
      <c r="J106" s="398"/>
      <c r="K106" s="398">
        <f>'0069'!$N$30</f>
        <v>0</v>
      </c>
      <c r="L106" s="398">
        <v>0</v>
      </c>
      <c r="M106" s="399">
        <v>0</v>
      </c>
      <c r="N106" s="399">
        <v>0</v>
      </c>
      <c r="O106" s="399">
        <v>789.31656961185956</v>
      </c>
      <c r="P106" s="399">
        <v>2484.0875623688676</v>
      </c>
      <c r="Q106" s="399"/>
      <c r="R106" s="399"/>
      <c r="S106" s="398">
        <v>53273.404131980729</v>
      </c>
      <c r="T106" s="398"/>
      <c r="U106" s="398">
        <f t="shared" si="69"/>
        <v>56546.808263961459</v>
      </c>
      <c r="V106" s="399">
        <f t="shared" si="70"/>
        <v>0</v>
      </c>
      <c r="W106" s="400"/>
      <c r="X106" s="401">
        <v>0</v>
      </c>
      <c r="Y106" s="402">
        <v>0</v>
      </c>
      <c r="Z106" s="116"/>
      <c r="AA106" s="116"/>
      <c r="AB106" s="112">
        <v>0</v>
      </c>
      <c r="AC106" s="112">
        <f t="shared" si="67"/>
        <v>0</v>
      </c>
      <c r="AD106" s="10"/>
      <c r="AE106" s="112">
        <v>789.31656961185956</v>
      </c>
      <c r="AF106" s="112">
        <f t="shared" si="71"/>
        <v>0</v>
      </c>
    </row>
    <row r="107" spans="1:36" ht="15" hidden="1" customHeight="1" thickBot="1">
      <c r="A107" s="395">
        <v>7</v>
      </c>
      <c r="B107" s="395" t="s">
        <v>181</v>
      </c>
      <c r="C107" s="395"/>
      <c r="D107" s="590">
        <v>42266</v>
      </c>
      <c r="E107" s="396" t="str">
        <f>'0071'!$D$1</f>
        <v>AWAN N.</v>
      </c>
      <c r="F107" s="449"/>
      <c r="G107" s="398" t="str">
        <f>'0071'!$D$3</f>
        <v>SINGA JAYA</v>
      </c>
      <c r="H107" s="398">
        <f>'0071'!$L$30</f>
        <v>0</v>
      </c>
      <c r="I107" s="398">
        <f>'0071'!$H$48</f>
        <v>45000</v>
      </c>
      <c r="J107" s="398"/>
      <c r="K107" s="398">
        <f>'0071'!$N$30</f>
        <v>0</v>
      </c>
      <c r="L107" s="398">
        <v>0</v>
      </c>
      <c r="M107" s="399">
        <v>0</v>
      </c>
      <c r="N107" s="399">
        <v>0</v>
      </c>
      <c r="O107" s="399">
        <v>426.23094759040413</v>
      </c>
      <c r="P107" s="399">
        <v>2221.7809359088888</v>
      </c>
      <c r="Q107" s="399"/>
      <c r="R107" s="399"/>
      <c r="S107" s="398">
        <v>47648.01188349929</v>
      </c>
      <c r="T107" s="398"/>
      <c r="U107" s="398">
        <f t="shared" si="69"/>
        <v>50296.02376699858</v>
      </c>
      <c r="V107" s="399">
        <f t="shared" si="70"/>
        <v>0</v>
      </c>
      <c r="W107" s="400"/>
      <c r="X107" s="401">
        <v>0</v>
      </c>
      <c r="Y107" s="402">
        <v>0</v>
      </c>
      <c r="Z107" s="116"/>
      <c r="AA107" s="116"/>
      <c r="AB107" s="112">
        <v>0</v>
      </c>
      <c r="AC107" s="112">
        <f t="shared" si="67"/>
        <v>0</v>
      </c>
      <c r="AD107" s="10"/>
      <c r="AE107" s="112">
        <v>426.23094759040413</v>
      </c>
      <c r="AF107" s="112">
        <f t="shared" si="71"/>
        <v>0</v>
      </c>
    </row>
    <row r="108" spans="1:36" ht="15" hidden="1" customHeight="1" thickBot="1">
      <c r="A108" s="395">
        <v>8</v>
      </c>
      <c r="B108" s="395" t="s">
        <v>184</v>
      </c>
      <c r="C108" s="395"/>
      <c r="D108" s="590">
        <v>42317</v>
      </c>
      <c r="E108" s="396" t="str">
        <f>'0074'!$D$1</f>
        <v>TARMIDZI</v>
      </c>
      <c r="F108" s="449"/>
      <c r="G108" s="398" t="str">
        <f>'0074'!$D$3</f>
        <v>PEKANDANGAN</v>
      </c>
      <c r="H108" s="398">
        <f>'0074'!$L$28</f>
        <v>0</v>
      </c>
      <c r="I108" s="398">
        <f>'0074'!$M$28</f>
        <v>25000</v>
      </c>
      <c r="J108" s="398"/>
      <c r="K108" s="398">
        <f>'0074'!$N$28</f>
        <v>5000</v>
      </c>
      <c r="L108" s="398">
        <v>0</v>
      </c>
      <c r="M108" s="399">
        <v>0</v>
      </c>
      <c r="N108" s="399">
        <v>0</v>
      </c>
      <c r="O108" s="399">
        <v>189.4359767068463</v>
      </c>
      <c r="P108" s="399">
        <v>1476.5546671982283</v>
      </c>
      <c r="Q108" s="399"/>
      <c r="R108" s="399"/>
      <c r="S108" s="398">
        <v>31665.990643905076</v>
      </c>
      <c r="T108" s="398"/>
      <c r="U108" s="398">
        <f t="shared" si="69"/>
        <v>38331.981287810151</v>
      </c>
      <c r="V108" s="399">
        <f t="shared" si="70"/>
        <v>0</v>
      </c>
      <c r="W108" s="400"/>
      <c r="X108" s="401">
        <v>0</v>
      </c>
      <c r="Y108" s="402">
        <v>0</v>
      </c>
      <c r="Z108" s="116"/>
      <c r="AA108" s="116"/>
      <c r="AB108" s="112">
        <v>0</v>
      </c>
      <c r="AC108" s="112">
        <f t="shared" si="67"/>
        <v>0</v>
      </c>
      <c r="AD108" s="10"/>
      <c r="AE108" s="112">
        <v>189.4359767068463</v>
      </c>
      <c r="AF108" s="112">
        <f t="shared" si="71"/>
        <v>0</v>
      </c>
    </row>
    <row r="109" spans="1:36" ht="15" hidden="1" customHeight="1" thickBot="1">
      <c r="A109" s="14" t="s">
        <v>191</v>
      </c>
      <c r="B109" s="14" t="s">
        <v>191</v>
      </c>
      <c r="C109" s="14"/>
      <c r="D109" s="594"/>
      <c r="E109" s="301"/>
      <c r="F109" s="15"/>
      <c r="G109" s="148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148"/>
      <c r="U109" s="148"/>
      <c r="V109" s="111"/>
      <c r="W109" s="16"/>
      <c r="X109" s="10"/>
      <c r="Y109" s="10"/>
      <c r="Z109" s="116"/>
      <c r="AA109" s="116"/>
      <c r="AB109" s="112">
        <v>0</v>
      </c>
      <c r="AC109" s="10"/>
      <c r="AD109" s="10"/>
      <c r="AE109" s="10"/>
      <c r="AF109" s="10"/>
    </row>
    <row r="110" spans="1:36" ht="15" hidden="1" customHeight="1" thickBot="1">
      <c r="A110" s="14" t="s">
        <v>192</v>
      </c>
      <c r="B110" s="14" t="s">
        <v>192</v>
      </c>
      <c r="C110" s="14"/>
      <c r="D110" s="594"/>
      <c r="E110" s="301"/>
      <c r="F110" s="15"/>
      <c r="G110" s="148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148"/>
      <c r="U110" s="148"/>
      <c r="V110" s="111"/>
      <c r="W110" s="16"/>
      <c r="X110" s="10"/>
      <c r="Y110" s="10"/>
      <c r="Z110" s="116"/>
      <c r="AA110" s="116"/>
      <c r="AB110" s="112">
        <v>0</v>
      </c>
      <c r="AC110" s="10"/>
      <c r="AD110" s="10"/>
      <c r="AE110" s="10"/>
      <c r="AF110" s="10"/>
    </row>
    <row r="111" spans="1:36" ht="15" hidden="1" customHeight="1" thickBot="1">
      <c r="A111" s="14" t="s">
        <v>193</v>
      </c>
      <c r="B111" s="14" t="s">
        <v>193</v>
      </c>
      <c r="C111" s="14"/>
      <c r="D111" s="594"/>
      <c r="E111" s="301"/>
      <c r="F111" s="15"/>
      <c r="G111" s="148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148"/>
      <c r="U111" s="148"/>
      <c r="V111" s="111"/>
      <c r="W111" s="16"/>
      <c r="X111" s="10"/>
      <c r="Y111" s="10"/>
      <c r="Z111" s="116"/>
      <c r="AA111" s="116"/>
      <c r="AB111" s="112">
        <v>0</v>
      </c>
      <c r="AC111" s="10"/>
      <c r="AD111" s="10"/>
      <c r="AE111" s="10"/>
      <c r="AF111" s="10"/>
    </row>
    <row r="112" spans="1:36" ht="15" hidden="1" customHeight="1" thickBot="1">
      <c r="A112" s="14" t="s">
        <v>194</v>
      </c>
      <c r="B112" s="14" t="s">
        <v>194</v>
      </c>
      <c r="C112" s="14"/>
      <c r="D112" s="594"/>
      <c r="E112" s="301"/>
      <c r="F112" s="15"/>
      <c r="G112" s="148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148"/>
      <c r="U112" s="148"/>
      <c r="V112" s="111"/>
      <c r="W112" s="16"/>
      <c r="X112" s="10"/>
      <c r="Y112" s="10"/>
      <c r="Z112" s="116"/>
      <c r="AA112" s="116"/>
      <c r="AB112" s="112">
        <v>0</v>
      </c>
      <c r="AC112" s="10"/>
      <c r="AD112" s="10"/>
      <c r="AE112" s="10"/>
      <c r="AF112" s="10"/>
    </row>
    <row r="113" spans="1:32" ht="15" hidden="1" customHeight="1" thickBot="1">
      <c r="A113" s="14" t="s">
        <v>195</v>
      </c>
      <c r="B113" s="14" t="s">
        <v>195</v>
      </c>
      <c r="C113" s="14"/>
      <c r="D113" s="594"/>
      <c r="E113" s="301"/>
      <c r="F113" s="15"/>
      <c r="G113" s="148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148"/>
      <c r="U113" s="148"/>
      <c r="V113" s="111"/>
      <c r="W113" s="16"/>
      <c r="X113" s="10"/>
      <c r="Y113" s="10"/>
      <c r="Z113" s="116"/>
      <c r="AA113" s="116"/>
      <c r="AB113" s="112">
        <v>0</v>
      </c>
      <c r="AC113" s="10"/>
      <c r="AD113" s="10"/>
      <c r="AE113" s="10"/>
      <c r="AF113" s="10"/>
    </row>
    <row r="114" spans="1:32" ht="15" hidden="1" customHeight="1" thickBot="1">
      <c r="A114" s="14" t="s">
        <v>196</v>
      </c>
      <c r="B114" s="14" t="s">
        <v>196</v>
      </c>
      <c r="C114" s="14"/>
      <c r="D114" s="594"/>
      <c r="E114" s="301"/>
      <c r="F114" s="15"/>
      <c r="G114" s="148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148"/>
      <c r="U114" s="148"/>
      <c r="V114" s="111"/>
      <c r="W114" s="16"/>
      <c r="X114" s="10"/>
      <c r="Y114" s="10"/>
      <c r="Z114" s="116"/>
      <c r="AA114" s="116"/>
      <c r="AB114" s="112">
        <v>0</v>
      </c>
      <c r="AC114" s="10"/>
      <c r="AD114" s="10"/>
      <c r="AE114" s="10"/>
      <c r="AF114" s="10"/>
    </row>
    <row r="115" spans="1:32" ht="15" hidden="1" customHeight="1" thickBot="1">
      <c r="A115" s="14" t="s">
        <v>197</v>
      </c>
      <c r="B115" s="14" t="s">
        <v>197</v>
      </c>
      <c r="C115" s="14"/>
      <c r="D115" s="594"/>
      <c r="E115" s="301"/>
      <c r="F115" s="15"/>
      <c r="G115" s="148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148"/>
      <c r="U115" s="148"/>
      <c r="V115" s="111"/>
      <c r="W115" s="16"/>
      <c r="X115" s="10"/>
      <c r="Y115" s="10"/>
      <c r="Z115" s="116"/>
      <c r="AA115" s="116"/>
      <c r="AB115" s="112">
        <v>0</v>
      </c>
      <c r="AC115" s="10"/>
      <c r="AD115" s="10"/>
      <c r="AE115" s="10"/>
      <c r="AF115" s="10"/>
    </row>
    <row r="116" spans="1:32" ht="15" hidden="1" customHeight="1" thickBot="1">
      <c r="A116" s="14" t="s">
        <v>198</v>
      </c>
      <c r="B116" s="14" t="s">
        <v>198</v>
      </c>
      <c r="C116" s="14"/>
      <c r="D116" s="594"/>
      <c r="E116" s="301"/>
      <c r="F116" s="15"/>
      <c r="G116" s="148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148"/>
      <c r="U116" s="148"/>
      <c r="V116" s="111"/>
      <c r="W116" s="16"/>
      <c r="X116" s="10"/>
      <c r="Y116" s="10"/>
      <c r="Z116" s="116"/>
      <c r="AA116" s="116"/>
      <c r="AB116" s="112">
        <v>0</v>
      </c>
      <c r="AC116" s="10"/>
      <c r="AD116" s="10"/>
      <c r="AE116" s="10"/>
      <c r="AF116" s="10"/>
    </row>
    <row r="117" spans="1:32" ht="15" hidden="1" customHeight="1" thickBot="1">
      <c r="A117" s="14" t="s">
        <v>199</v>
      </c>
      <c r="B117" s="14" t="s">
        <v>199</v>
      </c>
      <c r="C117" s="14"/>
      <c r="D117" s="594"/>
      <c r="E117" s="301"/>
      <c r="F117" s="15"/>
      <c r="G117" s="148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148"/>
      <c r="U117" s="148"/>
      <c r="V117" s="111"/>
      <c r="W117" s="16"/>
      <c r="X117" s="10"/>
      <c r="Y117" s="10"/>
      <c r="Z117" s="116"/>
      <c r="AA117" s="116"/>
      <c r="AB117" s="112">
        <v>0</v>
      </c>
      <c r="AC117" s="10"/>
      <c r="AD117" s="10"/>
      <c r="AE117" s="10"/>
      <c r="AF117" s="10"/>
    </row>
    <row r="118" spans="1:32" ht="15" hidden="1" customHeight="1" thickBot="1">
      <c r="A118" s="14" t="s">
        <v>200</v>
      </c>
      <c r="B118" s="14" t="s">
        <v>200</v>
      </c>
      <c r="C118" s="14"/>
      <c r="D118" s="594"/>
      <c r="E118" s="301"/>
      <c r="F118" s="15"/>
      <c r="G118" s="148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148"/>
      <c r="U118" s="148"/>
      <c r="V118" s="111"/>
      <c r="W118" s="16"/>
      <c r="X118" s="10"/>
      <c r="Y118" s="10"/>
      <c r="Z118" s="116"/>
      <c r="AA118" s="116"/>
      <c r="AB118" s="112">
        <v>0</v>
      </c>
      <c r="AC118" s="10"/>
      <c r="AD118" s="10"/>
      <c r="AE118" s="10"/>
      <c r="AF118" s="10"/>
    </row>
    <row r="119" spans="1:32" ht="15" hidden="1" customHeight="1" thickBot="1">
      <c r="A119" s="14" t="s">
        <v>201</v>
      </c>
      <c r="B119" s="14" t="s">
        <v>201</v>
      </c>
      <c r="C119" s="14"/>
      <c r="D119" s="594"/>
      <c r="E119" s="301"/>
      <c r="F119" s="15"/>
      <c r="G119" s="148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146">
        <f t="shared" ref="T119:T150" si="72">H119+I119</f>
        <v>0</v>
      </c>
      <c r="U119" s="146">
        <f t="shared" ref="U119:U157" si="73">SUM(K119:S119)</f>
        <v>0</v>
      </c>
      <c r="V119" s="111"/>
      <c r="W119" s="16"/>
      <c r="X119" s="10"/>
      <c r="Y119" s="10"/>
      <c r="Z119" s="116"/>
      <c r="AA119" s="116"/>
      <c r="AB119" s="112">
        <v>0</v>
      </c>
      <c r="AC119" s="10"/>
      <c r="AD119" s="10"/>
      <c r="AE119" s="10"/>
      <c r="AF119" s="10"/>
    </row>
    <row r="120" spans="1:32" ht="15" hidden="1" customHeight="1" thickBot="1">
      <c r="A120" s="14" t="s">
        <v>202</v>
      </c>
      <c r="B120" s="14" t="s">
        <v>202</v>
      </c>
      <c r="C120" s="14"/>
      <c r="D120" s="594"/>
      <c r="E120" s="301"/>
      <c r="F120" s="15"/>
      <c r="G120" s="148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146">
        <f t="shared" si="72"/>
        <v>0</v>
      </c>
      <c r="U120" s="146">
        <f t="shared" si="73"/>
        <v>0</v>
      </c>
      <c r="V120" s="111"/>
      <c r="W120" s="16"/>
      <c r="X120" s="10"/>
      <c r="Y120" s="10"/>
      <c r="Z120" s="116"/>
      <c r="AA120" s="116"/>
      <c r="AB120" s="112">
        <v>0</v>
      </c>
      <c r="AC120" s="10"/>
      <c r="AD120" s="10"/>
      <c r="AE120" s="10"/>
      <c r="AF120" s="10"/>
    </row>
    <row r="121" spans="1:32" ht="15" hidden="1" customHeight="1" thickBot="1">
      <c r="A121" s="14" t="s">
        <v>203</v>
      </c>
      <c r="B121" s="14" t="s">
        <v>203</v>
      </c>
      <c r="C121" s="14"/>
      <c r="D121" s="594"/>
      <c r="E121" s="301"/>
      <c r="F121" s="15"/>
      <c r="G121" s="148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146">
        <f t="shared" si="72"/>
        <v>0</v>
      </c>
      <c r="U121" s="146">
        <f t="shared" si="73"/>
        <v>0</v>
      </c>
      <c r="V121" s="111"/>
      <c r="W121" s="16"/>
      <c r="X121" s="10"/>
      <c r="Y121" s="10"/>
      <c r="Z121" s="116"/>
      <c r="AA121" s="116"/>
      <c r="AB121" s="112">
        <v>0</v>
      </c>
      <c r="AC121" s="10"/>
      <c r="AD121" s="10"/>
      <c r="AE121" s="10"/>
      <c r="AF121" s="10"/>
    </row>
    <row r="122" spans="1:32" ht="15" hidden="1" customHeight="1" thickBot="1">
      <c r="A122" s="14" t="s">
        <v>204</v>
      </c>
      <c r="B122" s="14" t="s">
        <v>204</v>
      </c>
      <c r="C122" s="14"/>
      <c r="D122" s="594"/>
      <c r="E122" s="301"/>
      <c r="F122" s="15"/>
      <c r="G122" s="148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146">
        <f t="shared" si="72"/>
        <v>0</v>
      </c>
      <c r="U122" s="146">
        <f t="shared" si="73"/>
        <v>0</v>
      </c>
      <c r="V122" s="111"/>
      <c r="W122" s="16"/>
      <c r="X122" s="10"/>
      <c r="Y122" s="10"/>
      <c r="Z122" s="116"/>
      <c r="AA122" s="116"/>
      <c r="AB122" s="112">
        <v>0</v>
      </c>
      <c r="AC122" s="10"/>
      <c r="AD122" s="10"/>
      <c r="AE122" s="10"/>
      <c r="AF122" s="10"/>
    </row>
    <row r="123" spans="1:32" ht="15" hidden="1" customHeight="1" thickBot="1">
      <c r="A123" s="14" t="s">
        <v>205</v>
      </c>
      <c r="B123" s="14" t="s">
        <v>205</v>
      </c>
      <c r="C123" s="14"/>
      <c r="D123" s="594"/>
      <c r="E123" s="301"/>
      <c r="F123" s="15"/>
      <c r="G123" s="148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146">
        <f t="shared" si="72"/>
        <v>0</v>
      </c>
      <c r="U123" s="146">
        <f t="shared" si="73"/>
        <v>0</v>
      </c>
      <c r="V123" s="111"/>
      <c r="W123" s="16"/>
      <c r="X123" s="10"/>
      <c r="Y123" s="10"/>
      <c r="Z123" s="116"/>
      <c r="AA123" s="116"/>
      <c r="AB123" s="112">
        <v>0</v>
      </c>
      <c r="AC123" s="10"/>
      <c r="AD123" s="10"/>
      <c r="AE123" s="10"/>
      <c r="AF123" s="10"/>
    </row>
    <row r="124" spans="1:32" ht="15" hidden="1" customHeight="1" thickBot="1">
      <c r="A124" s="14" t="s">
        <v>206</v>
      </c>
      <c r="B124" s="14" t="s">
        <v>206</v>
      </c>
      <c r="C124" s="14"/>
      <c r="D124" s="594"/>
      <c r="E124" s="301"/>
      <c r="F124" s="15"/>
      <c r="G124" s="148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146">
        <f t="shared" si="72"/>
        <v>0</v>
      </c>
      <c r="U124" s="146">
        <f t="shared" si="73"/>
        <v>0</v>
      </c>
      <c r="V124" s="111"/>
      <c r="W124" s="16"/>
      <c r="X124" s="10"/>
      <c r="Y124" s="10"/>
      <c r="Z124" s="116"/>
      <c r="AA124" s="116"/>
      <c r="AB124" s="112">
        <v>0</v>
      </c>
      <c r="AC124" s="10"/>
      <c r="AD124" s="10"/>
      <c r="AE124" s="10"/>
      <c r="AF124" s="10"/>
    </row>
    <row r="125" spans="1:32" ht="15" hidden="1" customHeight="1" thickBot="1">
      <c r="A125" s="14" t="s">
        <v>207</v>
      </c>
      <c r="B125" s="14" t="s">
        <v>207</v>
      </c>
      <c r="C125" s="14"/>
      <c r="D125" s="594"/>
      <c r="E125" s="301"/>
      <c r="F125" s="15"/>
      <c r="G125" s="148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146">
        <f t="shared" si="72"/>
        <v>0</v>
      </c>
      <c r="U125" s="146">
        <f t="shared" si="73"/>
        <v>0</v>
      </c>
      <c r="V125" s="111"/>
      <c r="W125" s="16"/>
      <c r="X125" s="10"/>
      <c r="Y125" s="10"/>
      <c r="Z125" s="116"/>
      <c r="AA125" s="116"/>
      <c r="AB125" s="112">
        <v>0</v>
      </c>
      <c r="AC125" s="10"/>
      <c r="AD125" s="10"/>
      <c r="AE125" s="10"/>
      <c r="AF125" s="10"/>
    </row>
    <row r="126" spans="1:32" ht="15" hidden="1" customHeight="1" thickBot="1">
      <c r="A126" s="14" t="s">
        <v>208</v>
      </c>
      <c r="B126" s="14" t="s">
        <v>208</v>
      </c>
      <c r="C126" s="14"/>
      <c r="D126" s="594"/>
      <c r="E126" s="301"/>
      <c r="F126" s="15"/>
      <c r="G126" s="148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146">
        <f t="shared" si="72"/>
        <v>0</v>
      </c>
      <c r="U126" s="146">
        <f t="shared" si="73"/>
        <v>0</v>
      </c>
      <c r="V126" s="111"/>
      <c r="W126" s="16"/>
      <c r="X126" s="10"/>
      <c r="Y126" s="10"/>
      <c r="Z126" s="116"/>
      <c r="AA126" s="116"/>
      <c r="AB126" s="112">
        <v>0</v>
      </c>
      <c r="AC126" s="10"/>
      <c r="AD126" s="10"/>
      <c r="AE126" s="10"/>
      <c r="AF126" s="10"/>
    </row>
    <row r="127" spans="1:32" ht="15" hidden="1" customHeight="1" thickBot="1">
      <c r="A127" s="14" t="s">
        <v>209</v>
      </c>
      <c r="B127" s="14" t="s">
        <v>209</v>
      </c>
      <c r="C127" s="14"/>
      <c r="D127" s="594"/>
      <c r="E127" s="301"/>
      <c r="F127" s="15"/>
      <c r="G127" s="148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146">
        <f t="shared" si="72"/>
        <v>0</v>
      </c>
      <c r="U127" s="146">
        <f t="shared" si="73"/>
        <v>0</v>
      </c>
      <c r="V127" s="111"/>
      <c r="W127" s="16"/>
      <c r="X127" s="10"/>
      <c r="Y127" s="10"/>
      <c r="Z127" s="116"/>
      <c r="AA127" s="116"/>
      <c r="AB127" s="112">
        <v>0</v>
      </c>
      <c r="AC127" s="10"/>
      <c r="AD127" s="10"/>
      <c r="AE127" s="10"/>
      <c r="AF127" s="10"/>
    </row>
    <row r="128" spans="1:32" ht="15" hidden="1" customHeight="1" thickBot="1">
      <c r="A128" s="14" t="s">
        <v>210</v>
      </c>
      <c r="B128" s="14" t="s">
        <v>210</v>
      </c>
      <c r="C128" s="14"/>
      <c r="D128" s="594"/>
      <c r="E128" s="301"/>
      <c r="F128" s="15"/>
      <c r="G128" s="148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146">
        <f t="shared" si="72"/>
        <v>0</v>
      </c>
      <c r="U128" s="146">
        <f t="shared" si="73"/>
        <v>0</v>
      </c>
      <c r="V128" s="111"/>
      <c r="W128" s="16"/>
      <c r="X128" s="10"/>
      <c r="Y128" s="10"/>
      <c r="Z128" s="116"/>
      <c r="AA128" s="116"/>
      <c r="AB128" s="112">
        <v>0</v>
      </c>
      <c r="AC128" s="10"/>
      <c r="AD128" s="10"/>
      <c r="AE128" s="10"/>
      <c r="AF128" s="10"/>
    </row>
    <row r="129" spans="1:32" ht="15" hidden="1" customHeight="1" thickBot="1">
      <c r="A129" s="14" t="s">
        <v>211</v>
      </c>
      <c r="B129" s="14" t="s">
        <v>211</v>
      </c>
      <c r="C129" s="14"/>
      <c r="D129" s="594"/>
      <c r="E129" s="301"/>
      <c r="F129" s="15"/>
      <c r="G129" s="148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146">
        <f t="shared" si="72"/>
        <v>0</v>
      </c>
      <c r="U129" s="146">
        <f t="shared" si="73"/>
        <v>0</v>
      </c>
      <c r="V129" s="111"/>
      <c r="W129" s="16"/>
      <c r="X129" s="10"/>
      <c r="Y129" s="10"/>
      <c r="Z129" s="116"/>
      <c r="AA129" s="116"/>
      <c r="AB129" s="112">
        <v>0</v>
      </c>
      <c r="AC129" s="10"/>
      <c r="AD129" s="10"/>
      <c r="AE129" s="10"/>
      <c r="AF129" s="10"/>
    </row>
    <row r="130" spans="1:32" ht="15" hidden="1" customHeight="1" thickBot="1">
      <c r="A130" s="14" t="s">
        <v>212</v>
      </c>
      <c r="B130" s="14" t="s">
        <v>212</v>
      </c>
      <c r="C130" s="14"/>
      <c r="D130" s="594"/>
      <c r="E130" s="301"/>
      <c r="F130" s="15"/>
      <c r="G130" s="148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146">
        <f t="shared" si="72"/>
        <v>0</v>
      </c>
      <c r="U130" s="146">
        <f t="shared" si="73"/>
        <v>0</v>
      </c>
      <c r="V130" s="111"/>
      <c r="W130" s="16"/>
      <c r="X130" s="10"/>
      <c r="Y130" s="10"/>
      <c r="Z130" s="116"/>
      <c r="AA130" s="116"/>
      <c r="AB130" s="112">
        <v>0</v>
      </c>
      <c r="AC130" s="10"/>
      <c r="AD130" s="10"/>
      <c r="AE130" s="10"/>
      <c r="AF130" s="10"/>
    </row>
    <row r="131" spans="1:32" ht="15" hidden="1" customHeight="1" thickBot="1">
      <c r="A131" s="14" t="s">
        <v>213</v>
      </c>
      <c r="B131" s="14" t="s">
        <v>213</v>
      </c>
      <c r="C131" s="14"/>
      <c r="D131" s="594"/>
      <c r="E131" s="301"/>
      <c r="F131" s="15"/>
      <c r="G131" s="148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146">
        <f t="shared" si="72"/>
        <v>0</v>
      </c>
      <c r="U131" s="146">
        <f t="shared" si="73"/>
        <v>0</v>
      </c>
      <c r="V131" s="111"/>
      <c r="W131" s="16"/>
      <c r="X131" s="10"/>
      <c r="Y131" s="10"/>
      <c r="Z131" s="116"/>
      <c r="AA131" s="116"/>
      <c r="AB131" s="112">
        <v>0</v>
      </c>
      <c r="AC131" s="10"/>
      <c r="AD131" s="10"/>
      <c r="AE131" s="10"/>
      <c r="AF131" s="10"/>
    </row>
    <row r="132" spans="1:32" ht="15" hidden="1" customHeight="1" thickBot="1">
      <c r="A132" s="14" t="s">
        <v>214</v>
      </c>
      <c r="B132" s="14" t="s">
        <v>214</v>
      </c>
      <c r="C132" s="14"/>
      <c r="D132" s="594"/>
      <c r="E132" s="301"/>
      <c r="F132" s="15"/>
      <c r="G132" s="148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146">
        <f t="shared" si="72"/>
        <v>0</v>
      </c>
      <c r="U132" s="146">
        <f t="shared" si="73"/>
        <v>0</v>
      </c>
      <c r="V132" s="111"/>
      <c r="W132" s="16"/>
      <c r="X132" s="10"/>
      <c r="Y132" s="10"/>
      <c r="Z132" s="116"/>
      <c r="AA132" s="116"/>
      <c r="AB132" s="112">
        <v>0</v>
      </c>
      <c r="AC132" s="10"/>
      <c r="AD132" s="10"/>
      <c r="AE132" s="10"/>
      <c r="AF132" s="10"/>
    </row>
    <row r="133" spans="1:32" ht="15" hidden="1" customHeight="1" thickBot="1">
      <c r="A133" s="14" t="s">
        <v>215</v>
      </c>
      <c r="B133" s="14" t="s">
        <v>215</v>
      </c>
      <c r="C133" s="14"/>
      <c r="D133" s="594"/>
      <c r="E133" s="301"/>
      <c r="F133" s="15"/>
      <c r="G133" s="148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146">
        <f t="shared" si="72"/>
        <v>0</v>
      </c>
      <c r="U133" s="146">
        <f t="shared" si="73"/>
        <v>0</v>
      </c>
      <c r="V133" s="111"/>
      <c r="W133" s="16"/>
      <c r="X133" s="10"/>
      <c r="Y133" s="10"/>
      <c r="Z133" s="116"/>
      <c r="AA133" s="116"/>
      <c r="AB133" s="112">
        <v>0</v>
      </c>
      <c r="AC133" s="10"/>
      <c r="AD133" s="10"/>
      <c r="AE133" s="10"/>
      <c r="AF133" s="10"/>
    </row>
    <row r="134" spans="1:32" ht="15" hidden="1" customHeight="1" thickBot="1">
      <c r="A134" s="14" t="s">
        <v>216</v>
      </c>
      <c r="B134" s="14" t="s">
        <v>216</v>
      </c>
      <c r="C134" s="14"/>
      <c r="D134" s="594"/>
      <c r="E134" s="301"/>
      <c r="F134" s="15"/>
      <c r="G134" s="148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146">
        <f t="shared" si="72"/>
        <v>0</v>
      </c>
      <c r="U134" s="146">
        <f t="shared" si="73"/>
        <v>0</v>
      </c>
      <c r="V134" s="111"/>
      <c r="W134" s="16"/>
      <c r="X134" s="10"/>
      <c r="Y134" s="10"/>
      <c r="Z134" s="116"/>
      <c r="AA134" s="116"/>
      <c r="AB134" s="112">
        <v>0</v>
      </c>
      <c r="AC134" s="10"/>
      <c r="AD134" s="10"/>
      <c r="AE134" s="10"/>
      <c r="AF134" s="10"/>
    </row>
    <row r="135" spans="1:32" ht="15" hidden="1" customHeight="1" thickBot="1">
      <c r="A135" s="14" t="s">
        <v>217</v>
      </c>
      <c r="B135" s="14" t="s">
        <v>217</v>
      </c>
      <c r="C135" s="14"/>
      <c r="D135" s="594"/>
      <c r="E135" s="301"/>
      <c r="F135" s="15"/>
      <c r="G135" s="148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146">
        <f t="shared" si="72"/>
        <v>0</v>
      </c>
      <c r="U135" s="146">
        <f t="shared" si="73"/>
        <v>0</v>
      </c>
      <c r="V135" s="111"/>
      <c r="W135" s="16"/>
      <c r="X135" s="10"/>
      <c r="Y135" s="10"/>
      <c r="Z135" s="116"/>
      <c r="AA135" s="116"/>
      <c r="AB135" s="112">
        <v>0</v>
      </c>
      <c r="AC135" s="10"/>
      <c r="AD135" s="10"/>
      <c r="AE135" s="10"/>
      <c r="AF135" s="10"/>
    </row>
    <row r="136" spans="1:32" ht="15" hidden="1" customHeight="1" thickBot="1">
      <c r="A136" s="14" t="s">
        <v>218</v>
      </c>
      <c r="B136" s="14" t="s">
        <v>218</v>
      </c>
      <c r="C136" s="14"/>
      <c r="D136" s="594"/>
      <c r="E136" s="301"/>
      <c r="F136" s="15"/>
      <c r="G136" s="148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146">
        <f t="shared" si="72"/>
        <v>0</v>
      </c>
      <c r="U136" s="146">
        <f t="shared" si="73"/>
        <v>0</v>
      </c>
      <c r="V136" s="111"/>
      <c r="W136" s="16"/>
      <c r="X136" s="10"/>
      <c r="Y136" s="10"/>
      <c r="Z136" s="116"/>
      <c r="AA136" s="116"/>
      <c r="AB136" s="112">
        <v>0</v>
      </c>
      <c r="AC136" s="10"/>
      <c r="AD136" s="10"/>
      <c r="AE136" s="10"/>
      <c r="AF136" s="10"/>
    </row>
    <row r="137" spans="1:32" ht="15" hidden="1" customHeight="1" thickBot="1">
      <c r="A137" s="14" t="s">
        <v>219</v>
      </c>
      <c r="B137" s="14" t="s">
        <v>219</v>
      </c>
      <c r="C137" s="14"/>
      <c r="D137" s="594"/>
      <c r="E137" s="301"/>
      <c r="F137" s="15"/>
      <c r="G137" s="148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146">
        <f t="shared" si="72"/>
        <v>0</v>
      </c>
      <c r="U137" s="146">
        <f t="shared" si="73"/>
        <v>0</v>
      </c>
      <c r="V137" s="111"/>
      <c r="W137" s="16"/>
      <c r="X137" s="10"/>
      <c r="Y137" s="10"/>
      <c r="Z137" s="116"/>
      <c r="AA137" s="116"/>
      <c r="AB137" s="112">
        <v>0</v>
      </c>
      <c r="AC137" s="10"/>
      <c r="AD137" s="10"/>
      <c r="AE137" s="10"/>
      <c r="AF137" s="10"/>
    </row>
    <row r="138" spans="1:32" ht="15" hidden="1" customHeight="1" thickBot="1">
      <c r="A138" s="14" t="s">
        <v>220</v>
      </c>
      <c r="B138" s="14" t="s">
        <v>220</v>
      </c>
      <c r="C138" s="14"/>
      <c r="D138" s="594"/>
      <c r="E138" s="301"/>
      <c r="F138" s="15"/>
      <c r="G138" s="148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146">
        <f t="shared" si="72"/>
        <v>0</v>
      </c>
      <c r="U138" s="146">
        <f t="shared" si="73"/>
        <v>0</v>
      </c>
      <c r="V138" s="111"/>
      <c r="W138" s="16"/>
      <c r="X138" s="10"/>
      <c r="Y138" s="10"/>
      <c r="Z138" s="116"/>
      <c r="AA138" s="116"/>
      <c r="AB138" s="112">
        <v>0</v>
      </c>
      <c r="AC138" s="10"/>
      <c r="AD138" s="10"/>
      <c r="AE138" s="10"/>
      <c r="AF138" s="10"/>
    </row>
    <row r="139" spans="1:32" ht="15" hidden="1" customHeight="1" thickBot="1">
      <c r="A139" s="14" t="s">
        <v>221</v>
      </c>
      <c r="B139" s="14" t="s">
        <v>221</v>
      </c>
      <c r="C139" s="14"/>
      <c r="D139" s="594"/>
      <c r="E139" s="301"/>
      <c r="F139" s="15"/>
      <c r="G139" s="148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146">
        <f t="shared" si="72"/>
        <v>0</v>
      </c>
      <c r="U139" s="146">
        <f t="shared" si="73"/>
        <v>0</v>
      </c>
      <c r="V139" s="111"/>
      <c r="W139" s="16"/>
      <c r="X139" s="10"/>
      <c r="Y139" s="10"/>
      <c r="Z139" s="116"/>
      <c r="AA139" s="116"/>
      <c r="AB139" s="112">
        <v>0</v>
      </c>
      <c r="AC139" s="10"/>
      <c r="AD139" s="10"/>
      <c r="AE139" s="10"/>
      <c r="AF139" s="10"/>
    </row>
    <row r="140" spans="1:32" ht="15" hidden="1" customHeight="1" thickBot="1">
      <c r="A140" s="14" t="s">
        <v>222</v>
      </c>
      <c r="B140" s="14" t="s">
        <v>222</v>
      </c>
      <c r="C140" s="14"/>
      <c r="D140" s="594"/>
      <c r="E140" s="301"/>
      <c r="F140" s="15"/>
      <c r="G140" s="148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146">
        <f t="shared" si="72"/>
        <v>0</v>
      </c>
      <c r="U140" s="146">
        <f t="shared" si="73"/>
        <v>0</v>
      </c>
      <c r="V140" s="111"/>
      <c r="W140" s="16"/>
      <c r="X140" s="10"/>
      <c r="Y140" s="10"/>
      <c r="Z140" s="116"/>
      <c r="AA140" s="116"/>
      <c r="AB140" s="112">
        <v>0</v>
      </c>
      <c r="AC140" s="10"/>
      <c r="AD140" s="10"/>
      <c r="AE140" s="10"/>
      <c r="AF140" s="10"/>
    </row>
    <row r="141" spans="1:32" ht="15" hidden="1" customHeight="1" thickBot="1">
      <c r="A141" s="14" t="s">
        <v>223</v>
      </c>
      <c r="B141" s="14" t="s">
        <v>223</v>
      </c>
      <c r="C141" s="14"/>
      <c r="D141" s="594"/>
      <c r="E141" s="301"/>
      <c r="F141" s="15"/>
      <c r="G141" s="148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146">
        <f t="shared" si="72"/>
        <v>0</v>
      </c>
      <c r="U141" s="146">
        <f t="shared" si="73"/>
        <v>0</v>
      </c>
      <c r="V141" s="111"/>
      <c r="W141" s="16"/>
      <c r="X141" s="10"/>
      <c r="Y141" s="10"/>
      <c r="Z141" s="116"/>
      <c r="AA141" s="116"/>
      <c r="AB141" s="112">
        <v>0</v>
      </c>
      <c r="AC141" s="10"/>
      <c r="AD141" s="10"/>
      <c r="AE141" s="10"/>
      <c r="AF141" s="10"/>
    </row>
    <row r="142" spans="1:32" ht="15" hidden="1" customHeight="1" thickBot="1">
      <c r="A142" s="14" t="s">
        <v>224</v>
      </c>
      <c r="B142" s="14" t="s">
        <v>224</v>
      </c>
      <c r="C142" s="14"/>
      <c r="D142" s="594"/>
      <c r="E142" s="301"/>
      <c r="F142" s="15"/>
      <c r="G142" s="148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146">
        <f t="shared" si="72"/>
        <v>0</v>
      </c>
      <c r="U142" s="146">
        <f t="shared" si="73"/>
        <v>0</v>
      </c>
      <c r="V142" s="111"/>
      <c r="W142" s="16"/>
      <c r="X142" s="10"/>
      <c r="Y142" s="10"/>
      <c r="Z142" s="116"/>
      <c r="AA142" s="116"/>
      <c r="AB142" s="112">
        <v>0</v>
      </c>
      <c r="AC142" s="10"/>
      <c r="AD142" s="10"/>
      <c r="AE142" s="10"/>
      <c r="AF142" s="10"/>
    </row>
    <row r="143" spans="1:32" ht="15" hidden="1" customHeight="1" thickBot="1">
      <c r="A143" s="14" t="s">
        <v>225</v>
      </c>
      <c r="B143" s="14" t="s">
        <v>225</v>
      </c>
      <c r="C143" s="14"/>
      <c r="D143" s="594"/>
      <c r="E143" s="301"/>
      <c r="F143" s="15"/>
      <c r="G143" s="148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146">
        <f t="shared" si="72"/>
        <v>0</v>
      </c>
      <c r="U143" s="146">
        <f t="shared" si="73"/>
        <v>0</v>
      </c>
      <c r="V143" s="111"/>
      <c r="W143" s="16"/>
      <c r="X143" s="10"/>
      <c r="Y143" s="10"/>
      <c r="Z143" s="116"/>
      <c r="AA143" s="116"/>
      <c r="AB143" s="112">
        <v>0</v>
      </c>
      <c r="AC143" s="10"/>
      <c r="AD143" s="10"/>
      <c r="AE143" s="10"/>
      <c r="AF143" s="10"/>
    </row>
    <row r="144" spans="1:32" ht="15" hidden="1" customHeight="1" thickBot="1">
      <c r="A144" s="14" t="s">
        <v>226</v>
      </c>
      <c r="B144" s="14" t="s">
        <v>226</v>
      </c>
      <c r="C144" s="14"/>
      <c r="D144" s="594"/>
      <c r="E144" s="301"/>
      <c r="F144" s="15"/>
      <c r="G144" s="148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146">
        <f t="shared" si="72"/>
        <v>0</v>
      </c>
      <c r="U144" s="146">
        <f t="shared" si="73"/>
        <v>0</v>
      </c>
      <c r="V144" s="111"/>
      <c r="W144" s="16"/>
      <c r="X144" s="10"/>
      <c r="Y144" s="10"/>
      <c r="Z144" s="116"/>
      <c r="AA144" s="116"/>
      <c r="AB144" s="112">
        <v>0</v>
      </c>
      <c r="AC144" s="10"/>
      <c r="AD144" s="10"/>
      <c r="AE144" s="10"/>
      <c r="AF144" s="10"/>
    </row>
    <row r="145" spans="1:32" ht="15" hidden="1" customHeight="1" thickBot="1">
      <c r="A145" s="14" t="s">
        <v>227</v>
      </c>
      <c r="B145" s="14" t="s">
        <v>227</v>
      </c>
      <c r="C145" s="14"/>
      <c r="D145" s="594"/>
      <c r="E145" s="301"/>
      <c r="F145" s="15"/>
      <c r="G145" s="148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146">
        <f t="shared" si="72"/>
        <v>0</v>
      </c>
      <c r="U145" s="146">
        <f t="shared" si="73"/>
        <v>0</v>
      </c>
      <c r="V145" s="111"/>
      <c r="W145" s="16"/>
      <c r="X145" s="10"/>
      <c r="Y145" s="10"/>
      <c r="Z145" s="116"/>
      <c r="AA145" s="116"/>
      <c r="AB145" s="112">
        <v>0</v>
      </c>
      <c r="AC145" s="10"/>
      <c r="AD145" s="10"/>
      <c r="AE145" s="10"/>
      <c r="AF145" s="10"/>
    </row>
    <row r="146" spans="1:32" ht="15" hidden="1" customHeight="1" thickBot="1">
      <c r="A146" s="14" t="s">
        <v>228</v>
      </c>
      <c r="B146" s="14" t="s">
        <v>228</v>
      </c>
      <c r="C146" s="14"/>
      <c r="D146" s="594"/>
      <c r="E146" s="301"/>
      <c r="F146" s="15"/>
      <c r="G146" s="148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146">
        <f t="shared" si="72"/>
        <v>0</v>
      </c>
      <c r="U146" s="146">
        <f t="shared" si="73"/>
        <v>0</v>
      </c>
      <c r="V146" s="111"/>
      <c r="W146" s="16"/>
      <c r="X146" s="10"/>
      <c r="Y146" s="10"/>
      <c r="Z146" s="116"/>
      <c r="AA146" s="116"/>
      <c r="AB146" s="112">
        <v>0</v>
      </c>
      <c r="AC146" s="10"/>
      <c r="AD146" s="10"/>
      <c r="AE146" s="10"/>
      <c r="AF146" s="10"/>
    </row>
    <row r="147" spans="1:32" ht="15" hidden="1" customHeight="1" thickBot="1">
      <c r="A147" s="14" t="s">
        <v>229</v>
      </c>
      <c r="B147" s="14" t="s">
        <v>229</v>
      </c>
      <c r="C147" s="14"/>
      <c r="D147" s="594"/>
      <c r="E147" s="301"/>
      <c r="F147" s="15"/>
      <c r="G147" s="148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146">
        <f t="shared" si="72"/>
        <v>0</v>
      </c>
      <c r="U147" s="146">
        <f t="shared" si="73"/>
        <v>0</v>
      </c>
      <c r="V147" s="111"/>
      <c r="W147" s="16"/>
      <c r="X147" s="10"/>
      <c r="Y147" s="10"/>
      <c r="Z147" s="116"/>
      <c r="AA147" s="116"/>
      <c r="AB147" s="112">
        <v>0</v>
      </c>
      <c r="AC147" s="10"/>
      <c r="AD147" s="10"/>
      <c r="AE147" s="10"/>
      <c r="AF147" s="10"/>
    </row>
    <row r="148" spans="1:32" ht="15" hidden="1" customHeight="1" thickBot="1">
      <c r="A148" s="14" t="s">
        <v>230</v>
      </c>
      <c r="B148" s="14" t="s">
        <v>230</v>
      </c>
      <c r="C148" s="14"/>
      <c r="D148" s="594"/>
      <c r="E148" s="301"/>
      <c r="F148" s="15"/>
      <c r="G148" s="148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146">
        <f t="shared" si="72"/>
        <v>0</v>
      </c>
      <c r="U148" s="146">
        <f t="shared" si="73"/>
        <v>0</v>
      </c>
      <c r="V148" s="111"/>
      <c r="W148" s="16"/>
      <c r="X148" s="10"/>
      <c r="Y148" s="10"/>
      <c r="Z148" s="116"/>
      <c r="AA148" s="116"/>
      <c r="AB148" s="112">
        <v>0</v>
      </c>
      <c r="AC148" s="10"/>
      <c r="AD148" s="10"/>
      <c r="AE148" s="10"/>
      <c r="AF148" s="10"/>
    </row>
    <row r="149" spans="1:32" ht="15" hidden="1" customHeight="1" thickBot="1">
      <c r="A149" s="14" t="s">
        <v>231</v>
      </c>
      <c r="B149" s="14" t="s">
        <v>231</v>
      </c>
      <c r="C149" s="14"/>
      <c r="D149" s="594"/>
      <c r="E149" s="301"/>
      <c r="F149" s="15"/>
      <c r="G149" s="148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146">
        <f t="shared" si="72"/>
        <v>0</v>
      </c>
      <c r="U149" s="146">
        <f t="shared" si="73"/>
        <v>0</v>
      </c>
      <c r="V149" s="111"/>
      <c r="W149" s="16"/>
      <c r="X149" s="10"/>
      <c r="Y149" s="10"/>
      <c r="Z149" s="116"/>
      <c r="AA149" s="116"/>
      <c r="AB149" s="112">
        <v>0</v>
      </c>
      <c r="AC149" s="10"/>
      <c r="AD149" s="10"/>
      <c r="AE149" s="10"/>
      <c r="AF149" s="10"/>
    </row>
    <row r="150" spans="1:32" ht="15" hidden="1" customHeight="1" thickBot="1">
      <c r="A150" s="14" t="s">
        <v>232</v>
      </c>
      <c r="B150" s="14" t="s">
        <v>232</v>
      </c>
      <c r="C150" s="14"/>
      <c r="D150" s="594"/>
      <c r="E150" s="301"/>
      <c r="F150" s="15"/>
      <c r="G150" s="148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146">
        <f t="shared" si="72"/>
        <v>0</v>
      </c>
      <c r="U150" s="146">
        <f t="shared" si="73"/>
        <v>0</v>
      </c>
      <c r="V150" s="111"/>
      <c r="W150" s="16"/>
      <c r="X150" s="10"/>
      <c r="Y150" s="10"/>
      <c r="Z150" s="116"/>
      <c r="AA150" s="116"/>
      <c r="AB150" s="112">
        <v>0</v>
      </c>
      <c r="AC150" s="10"/>
      <c r="AD150" s="10"/>
      <c r="AE150" s="10"/>
      <c r="AF150" s="10"/>
    </row>
    <row r="151" spans="1:32" ht="15" hidden="1" customHeight="1" thickBot="1">
      <c r="A151" s="14" t="s">
        <v>233</v>
      </c>
      <c r="B151" s="14" t="s">
        <v>233</v>
      </c>
      <c r="C151" s="14"/>
      <c r="D151" s="594"/>
      <c r="E151" s="301"/>
      <c r="F151" s="15"/>
      <c r="G151" s="148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146">
        <f t="shared" ref="T151:T168" si="74">H151+I151</f>
        <v>0</v>
      </c>
      <c r="U151" s="146">
        <f t="shared" si="73"/>
        <v>0</v>
      </c>
      <c r="V151" s="111"/>
      <c r="W151" s="16"/>
      <c r="X151" s="10"/>
      <c r="Y151" s="10"/>
      <c r="Z151" s="116"/>
      <c r="AA151" s="116"/>
      <c r="AB151" s="112">
        <v>0</v>
      </c>
      <c r="AC151" s="10"/>
      <c r="AD151" s="10"/>
      <c r="AE151" s="10"/>
      <c r="AF151" s="10"/>
    </row>
    <row r="152" spans="1:32" ht="15" hidden="1" customHeight="1" thickBot="1">
      <c r="A152" s="14" t="s">
        <v>234</v>
      </c>
      <c r="B152" s="14" t="s">
        <v>234</v>
      </c>
      <c r="C152" s="14"/>
      <c r="D152" s="594"/>
      <c r="E152" s="301"/>
      <c r="F152" s="15"/>
      <c r="G152" s="148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146">
        <f t="shared" si="74"/>
        <v>0</v>
      </c>
      <c r="U152" s="146">
        <f t="shared" si="73"/>
        <v>0</v>
      </c>
      <c r="V152" s="111"/>
      <c r="W152" s="16"/>
      <c r="X152" s="10"/>
      <c r="Y152" s="10"/>
      <c r="Z152" s="116"/>
      <c r="AA152" s="116"/>
      <c r="AB152" s="112">
        <v>0</v>
      </c>
      <c r="AC152" s="10"/>
      <c r="AD152" s="10"/>
      <c r="AE152" s="10"/>
      <c r="AF152" s="10"/>
    </row>
    <row r="153" spans="1:32" ht="15" hidden="1" customHeight="1" thickBot="1">
      <c r="A153" s="14" t="s">
        <v>235</v>
      </c>
      <c r="B153" s="14" t="s">
        <v>235</v>
      </c>
      <c r="C153" s="14"/>
      <c r="D153" s="594"/>
      <c r="E153" s="301"/>
      <c r="F153" s="15"/>
      <c r="G153" s="148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146">
        <f t="shared" si="74"/>
        <v>0</v>
      </c>
      <c r="U153" s="146">
        <f t="shared" si="73"/>
        <v>0</v>
      </c>
      <c r="V153" s="111"/>
      <c r="W153" s="16"/>
      <c r="X153" s="10"/>
      <c r="Y153" s="10"/>
      <c r="Z153" s="116"/>
      <c r="AA153" s="116"/>
      <c r="AB153" s="112">
        <v>0</v>
      </c>
      <c r="AC153" s="10"/>
      <c r="AD153" s="10"/>
      <c r="AE153" s="10"/>
      <c r="AF153" s="10"/>
    </row>
    <row r="154" spans="1:32" ht="15" hidden="1" customHeight="1" thickBot="1">
      <c r="A154" s="14" t="s">
        <v>236</v>
      </c>
      <c r="B154" s="14" t="s">
        <v>236</v>
      </c>
      <c r="C154" s="14"/>
      <c r="D154" s="594"/>
      <c r="E154" s="301"/>
      <c r="F154" s="15"/>
      <c r="G154" s="148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146">
        <f t="shared" si="74"/>
        <v>0</v>
      </c>
      <c r="U154" s="146">
        <f t="shared" si="73"/>
        <v>0</v>
      </c>
      <c r="V154" s="111"/>
      <c r="W154" s="16"/>
      <c r="X154" s="10"/>
      <c r="Y154" s="10"/>
      <c r="Z154" s="116"/>
      <c r="AA154" s="116"/>
      <c r="AB154" s="112">
        <v>0</v>
      </c>
      <c r="AC154" s="10"/>
      <c r="AD154" s="10"/>
      <c r="AE154" s="10"/>
      <c r="AF154" s="10"/>
    </row>
    <row r="155" spans="1:32" ht="15" hidden="1" customHeight="1" thickBot="1">
      <c r="A155" s="14" t="s">
        <v>237</v>
      </c>
      <c r="B155" s="14" t="s">
        <v>237</v>
      </c>
      <c r="C155" s="14"/>
      <c r="D155" s="594"/>
      <c r="E155" s="301"/>
      <c r="F155" s="15"/>
      <c r="G155" s="148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146">
        <f t="shared" si="74"/>
        <v>0</v>
      </c>
      <c r="U155" s="146">
        <f t="shared" si="73"/>
        <v>0</v>
      </c>
      <c r="V155" s="111"/>
      <c r="W155" s="16"/>
      <c r="X155" s="10"/>
      <c r="Y155" s="10"/>
      <c r="Z155" s="116"/>
      <c r="AA155" s="116"/>
      <c r="AB155" s="112">
        <v>0</v>
      </c>
      <c r="AC155" s="10"/>
      <c r="AD155" s="10"/>
      <c r="AE155" s="10"/>
      <c r="AF155" s="10"/>
    </row>
    <row r="156" spans="1:32" ht="15" hidden="1" customHeight="1" thickBot="1">
      <c r="A156" s="14" t="s">
        <v>238</v>
      </c>
      <c r="B156" s="14" t="s">
        <v>238</v>
      </c>
      <c r="C156" s="14"/>
      <c r="D156" s="594"/>
      <c r="E156" s="301"/>
      <c r="F156" s="15"/>
      <c r="G156" s="148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146">
        <f t="shared" si="74"/>
        <v>0</v>
      </c>
      <c r="U156" s="146">
        <f t="shared" si="73"/>
        <v>0</v>
      </c>
      <c r="V156" s="111"/>
      <c r="W156" s="16"/>
      <c r="X156" s="10"/>
      <c r="Y156" s="10"/>
      <c r="Z156" s="116"/>
      <c r="AA156" s="116"/>
      <c r="AB156" s="112">
        <v>0</v>
      </c>
      <c r="AC156" s="10"/>
      <c r="AD156" s="10"/>
      <c r="AE156" s="10"/>
      <c r="AF156" s="10"/>
    </row>
    <row r="157" spans="1:32" ht="15" hidden="1" customHeight="1" thickBot="1">
      <c r="A157" s="14" t="s">
        <v>239</v>
      </c>
      <c r="B157" s="14" t="s">
        <v>239</v>
      </c>
      <c r="C157" s="14"/>
      <c r="D157" s="594"/>
      <c r="E157" s="301"/>
      <c r="F157" s="15"/>
      <c r="G157" s="148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146">
        <f t="shared" si="74"/>
        <v>0</v>
      </c>
      <c r="U157" s="146">
        <f t="shared" si="73"/>
        <v>0</v>
      </c>
      <c r="V157" s="111"/>
      <c r="W157" s="16"/>
      <c r="X157" s="10"/>
      <c r="Y157" s="10"/>
      <c r="Z157" s="116"/>
      <c r="AA157" s="116"/>
      <c r="AB157" s="112">
        <v>0</v>
      </c>
      <c r="AC157" s="10"/>
      <c r="AD157" s="10"/>
      <c r="AE157" s="10"/>
      <c r="AF157" s="10"/>
    </row>
    <row r="158" spans="1:32" ht="15" hidden="1" customHeight="1" thickBot="1">
      <c r="A158" s="14" t="s">
        <v>240</v>
      </c>
      <c r="B158" s="14" t="s">
        <v>240</v>
      </c>
      <c r="C158" s="14"/>
      <c r="D158" s="594"/>
      <c r="E158" s="301"/>
      <c r="F158" s="15"/>
      <c r="G158" s="148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146">
        <f t="shared" si="74"/>
        <v>0</v>
      </c>
      <c r="U158" s="146">
        <f t="shared" ref="U158:U168" si="75">SUM(K158:S158)</f>
        <v>0</v>
      </c>
      <c r="V158" s="111"/>
      <c r="W158" s="16"/>
      <c r="X158" s="10"/>
      <c r="Y158" s="10"/>
      <c r="Z158" s="116"/>
      <c r="AA158" s="116"/>
      <c r="AB158" s="112">
        <v>0</v>
      </c>
      <c r="AC158" s="10"/>
      <c r="AD158" s="10"/>
      <c r="AE158" s="10"/>
      <c r="AF158" s="10"/>
    </row>
    <row r="159" spans="1:32" ht="15" hidden="1" customHeight="1" thickBot="1">
      <c r="A159" s="14" t="s">
        <v>241</v>
      </c>
      <c r="B159" s="14" t="s">
        <v>241</v>
      </c>
      <c r="C159" s="14"/>
      <c r="D159" s="594"/>
      <c r="E159" s="301"/>
      <c r="F159" s="15"/>
      <c r="G159" s="148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146">
        <f t="shared" si="74"/>
        <v>0</v>
      </c>
      <c r="U159" s="146">
        <f t="shared" si="75"/>
        <v>0</v>
      </c>
      <c r="V159" s="111"/>
      <c r="W159" s="16"/>
      <c r="X159" s="10"/>
      <c r="Y159" s="10"/>
      <c r="Z159" s="116"/>
      <c r="AA159" s="116"/>
      <c r="AB159" s="112">
        <v>0</v>
      </c>
      <c r="AC159" s="10"/>
      <c r="AD159" s="10"/>
      <c r="AE159" s="10"/>
      <c r="AF159" s="10"/>
    </row>
    <row r="160" spans="1:32" ht="15" hidden="1" customHeight="1" thickBot="1">
      <c r="A160" s="14" t="s">
        <v>242</v>
      </c>
      <c r="B160" s="14" t="s">
        <v>242</v>
      </c>
      <c r="C160" s="14"/>
      <c r="D160" s="594"/>
      <c r="E160" s="301"/>
      <c r="F160" s="15"/>
      <c r="G160" s="148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146">
        <f t="shared" si="74"/>
        <v>0</v>
      </c>
      <c r="U160" s="146">
        <f t="shared" si="75"/>
        <v>0</v>
      </c>
      <c r="V160" s="111"/>
      <c r="W160" s="16"/>
      <c r="X160" s="10"/>
      <c r="Y160" s="10"/>
      <c r="Z160" s="116"/>
      <c r="AA160" s="116"/>
      <c r="AB160" s="112">
        <v>0</v>
      </c>
      <c r="AC160" s="10"/>
      <c r="AD160" s="10"/>
      <c r="AE160" s="10"/>
      <c r="AF160" s="10"/>
    </row>
    <row r="161" spans="1:33" ht="15" hidden="1" customHeight="1" thickBot="1">
      <c r="A161" s="14" t="s">
        <v>243</v>
      </c>
      <c r="B161" s="14" t="s">
        <v>243</v>
      </c>
      <c r="C161" s="14"/>
      <c r="D161" s="594"/>
      <c r="E161" s="301"/>
      <c r="F161" s="15"/>
      <c r="G161" s="148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146">
        <f t="shared" si="74"/>
        <v>0</v>
      </c>
      <c r="U161" s="146">
        <f t="shared" si="75"/>
        <v>0</v>
      </c>
      <c r="V161" s="111"/>
      <c r="W161" s="16"/>
      <c r="X161" s="10"/>
      <c r="Y161" s="10"/>
      <c r="Z161" s="116"/>
      <c r="AA161" s="116"/>
      <c r="AB161" s="112">
        <v>0</v>
      </c>
      <c r="AC161" s="10"/>
      <c r="AD161" s="10"/>
      <c r="AE161" s="10"/>
      <c r="AF161" s="10"/>
    </row>
    <row r="162" spans="1:33" ht="15" hidden="1" customHeight="1" thickBot="1">
      <c r="A162" s="14" t="s">
        <v>244</v>
      </c>
      <c r="B162" s="14" t="s">
        <v>244</v>
      </c>
      <c r="C162" s="14"/>
      <c r="D162" s="594"/>
      <c r="E162" s="301"/>
      <c r="F162" s="15"/>
      <c r="G162" s="148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146">
        <f t="shared" si="74"/>
        <v>0</v>
      </c>
      <c r="U162" s="146">
        <f t="shared" si="75"/>
        <v>0</v>
      </c>
      <c r="V162" s="111"/>
      <c r="W162" s="16"/>
      <c r="X162" s="10"/>
      <c r="Y162" s="10"/>
      <c r="Z162" s="116"/>
      <c r="AA162" s="116"/>
      <c r="AB162" s="112">
        <v>0</v>
      </c>
      <c r="AC162" s="10"/>
      <c r="AD162" s="10"/>
      <c r="AE162" s="10"/>
      <c r="AF162" s="10"/>
    </row>
    <row r="163" spans="1:33" ht="15" hidden="1" customHeight="1" thickBot="1">
      <c r="A163" s="14" t="s">
        <v>245</v>
      </c>
      <c r="B163" s="14" t="s">
        <v>245</v>
      </c>
      <c r="C163" s="14"/>
      <c r="D163" s="594"/>
      <c r="E163" s="301"/>
      <c r="F163" s="15"/>
      <c r="G163" s="148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146">
        <f t="shared" si="74"/>
        <v>0</v>
      </c>
      <c r="U163" s="146">
        <f t="shared" si="75"/>
        <v>0</v>
      </c>
      <c r="V163" s="111"/>
      <c r="W163" s="16"/>
      <c r="X163" s="10"/>
      <c r="Y163" s="10"/>
      <c r="Z163" s="116"/>
      <c r="AA163" s="116"/>
      <c r="AB163" s="112">
        <v>0</v>
      </c>
      <c r="AC163" s="10"/>
      <c r="AD163" s="10"/>
      <c r="AE163" s="10"/>
      <c r="AF163" s="10"/>
    </row>
    <row r="164" spans="1:33" ht="15" hidden="1" customHeight="1" thickBot="1">
      <c r="A164" s="14" t="s">
        <v>246</v>
      </c>
      <c r="B164" s="14" t="s">
        <v>246</v>
      </c>
      <c r="C164" s="14"/>
      <c r="D164" s="594"/>
      <c r="E164" s="301"/>
      <c r="F164" s="15"/>
      <c r="G164" s="148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146">
        <f t="shared" si="74"/>
        <v>0</v>
      </c>
      <c r="U164" s="146">
        <f t="shared" si="75"/>
        <v>0</v>
      </c>
      <c r="V164" s="111"/>
      <c r="W164" s="16"/>
      <c r="X164" s="10"/>
      <c r="Y164" s="10"/>
      <c r="Z164" s="116"/>
      <c r="AA164" s="116"/>
      <c r="AB164" s="112">
        <v>0</v>
      </c>
      <c r="AC164" s="10"/>
      <c r="AD164" s="10"/>
      <c r="AE164" s="10"/>
      <c r="AF164" s="10"/>
    </row>
    <row r="165" spans="1:33" ht="15" hidden="1" customHeight="1" thickBot="1">
      <c r="A165" s="14" t="s">
        <v>247</v>
      </c>
      <c r="B165" s="14" t="s">
        <v>247</v>
      </c>
      <c r="C165" s="14"/>
      <c r="D165" s="594"/>
      <c r="E165" s="301"/>
      <c r="F165" s="15"/>
      <c r="G165" s="148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146">
        <f t="shared" si="74"/>
        <v>0</v>
      </c>
      <c r="U165" s="146">
        <f t="shared" si="75"/>
        <v>0</v>
      </c>
      <c r="V165" s="111"/>
      <c r="W165" s="16"/>
      <c r="X165" s="10"/>
      <c r="Y165" s="10"/>
      <c r="Z165" s="116"/>
      <c r="AA165" s="116"/>
      <c r="AB165" s="112">
        <v>0</v>
      </c>
      <c r="AC165" s="10"/>
      <c r="AD165" s="10"/>
      <c r="AE165" s="10"/>
      <c r="AF165" s="10"/>
    </row>
    <row r="166" spans="1:33" ht="15" hidden="1" customHeight="1" thickBot="1">
      <c r="A166" s="14" t="s">
        <v>248</v>
      </c>
      <c r="B166" s="14" t="s">
        <v>248</v>
      </c>
      <c r="C166" s="14"/>
      <c r="D166" s="594"/>
      <c r="E166" s="301"/>
      <c r="F166" s="15"/>
      <c r="G166" s="148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146">
        <f t="shared" si="74"/>
        <v>0</v>
      </c>
      <c r="U166" s="146">
        <f t="shared" si="75"/>
        <v>0</v>
      </c>
      <c r="V166" s="111"/>
      <c r="W166" s="16"/>
      <c r="X166" s="10"/>
      <c r="Y166" s="10"/>
      <c r="Z166" s="116"/>
      <c r="AA166" s="116"/>
      <c r="AB166" s="112">
        <v>0</v>
      </c>
      <c r="AC166" s="10"/>
      <c r="AD166" s="10"/>
      <c r="AE166" s="10"/>
      <c r="AF166" s="10"/>
    </row>
    <row r="167" spans="1:33" ht="15" hidden="1" customHeight="1" thickBot="1">
      <c r="A167" s="14" t="s">
        <v>249</v>
      </c>
      <c r="B167" s="14" t="s">
        <v>249</v>
      </c>
      <c r="C167" s="14"/>
      <c r="D167" s="594"/>
      <c r="E167" s="301"/>
      <c r="F167" s="15"/>
      <c r="G167" s="148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146">
        <f t="shared" si="74"/>
        <v>0</v>
      </c>
      <c r="U167" s="146">
        <f t="shared" si="75"/>
        <v>0</v>
      </c>
      <c r="V167" s="111"/>
      <c r="W167" s="16"/>
      <c r="X167" s="10"/>
      <c r="Y167" s="10"/>
      <c r="Z167" s="116"/>
      <c r="AA167" s="116"/>
      <c r="AB167" s="112">
        <v>0</v>
      </c>
      <c r="AC167" s="10"/>
      <c r="AD167" s="10"/>
      <c r="AE167" s="10"/>
      <c r="AF167" s="10"/>
    </row>
    <row r="168" spans="1:33" ht="15" hidden="1" customHeight="1" thickBot="1">
      <c r="A168" s="14" t="s">
        <v>250</v>
      </c>
      <c r="B168" s="14" t="s">
        <v>250</v>
      </c>
      <c r="C168" s="14"/>
      <c r="D168" s="594"/>
      <c r="E168" s="301"/>
      <c r="F168" s="15"/>
      <c r="G168" s="148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146">
        <f t="shared" si="74"/>
        <v>0</v>
      </c>
      <c r="U168" s="146">
        <f t="shared" si="75"/>
        <v>0</v>
      </c>
      <c r="V168" s="111"/>
      <c r="W168" s="16"/>
      <c r="X168" s="10"/>
      <c r="Y168" s="10"/>
      <c r="Z168" s="116"/>
      <c r="AA168" s="116"/>
      <c r="AB168" s="112">
        <v>0</v>
      </c>
      <c r="AC168" s="10"/>
      <c r="AD168" s="10"/>
      <c r="AE168" s="10"/>
      <c r="AF168" s="10"/>
    </row>
    <row r="169" spans="1:33" ht="15" hidden="1" customHeight="1" thickBot="1">
      <c r="A169" s="14"/>
      <c r="B169" s="14"/>
      <c r="C169" s="14"/>
      <c r="D169" s="594"/>
      <c r="E169" s="301"/>
      <c r="F169" s="15"/>
      <c r="G169" s="148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111"/>
      <c r="W169" s="16"/>
      <c r="X169" s="10"/>
      <c r="Y169" s="10"/>
      <c r="Z169" s="116"/>
      <c r="AA169" s="116"/>
      <c r="AB169" s="112">
        <v>0</v>
      </c>
      <c r="AC169" s="10"/>
      <c r="AD169" s="10"/>
      <c r="AE169" s="10"/>
      <c r="AF169" s="10"/>
    </row>
    <row r="170" spans="1:33" ht="15" hidden="1" customHeight="1" thickBot="1">
      <c r="A170" s="14"/>
      <c r="B170" s="14"/>
      <c r="C170" s="14"/>
      <c r="D170" s="594"/>
      <c r="E170" s="301"/>
      <c r="F170" s="15"/>
      <c r="G170" s="148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111"/>
      <c r="W170" s="16"/>
      <c r="X170" s="10"/>
      <c r="Y170" s="10"/>
      <c r="Z170" s="116"/>
      <c r="AA170" s="116"/>
      <c r="AB170" s="112">
        <v>0</v>
      </c>
      <c r="AC170" s="10"/>
      <c r="AD170" s="10"/>
      <c r="AE170" s="10"/>
      <c r="AF170" s="10"/>
    </row>
    <row r="171" spans="1:33" ht="15" hidden="1" customHeight="1" thickBot="1">
      <c r="A171" s="14"/>
      <c r="B171" s="14"/>
      <c r="C171" s="14"/>
      <c r="D171" s="594"/>
      <c r="E171" s="301"/>
      <c r="F171" s="15"/>
      <c r="G171" s="148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111"/>
      <c r="W171" s="16"/>
      <c r="X171" s="10"/>
      <c r="Y171" s="10"/>
      <c r="Z171" s="116"/>
      <c r="AA171" s="116"/>
      <c r="AB171" s="112">
        <v>0</v>
      </c>
      <c r="AC171" s="10"/>
      <c r="AD171" s="10"/>
      <c r="AE171" s="10"/>
      <c r="AF171" s="10"/>
    </row>
    <row r="172" spans="1:33" ht="15" hidden="1" customHeight="1" thickBot="1">
      <c r="A172" s="14"/>
      <c r="B172" s="14"/>
      <c r="C172" s="14"/>
      <c r="D172" s="594"/>
      <c r="E172" s="301"/>
      <c r="F172" s="15"/>
      <c r="G172" s="148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111"/>
      <c r="W172" s="16"/>
      <c r="X172" s="10"/>
      <c r="Y172" s="10"/>
      <c r="Z172" s="116"/>
      <c r="AA172" s="116"/>
      <c r="AB172" s="112">
        <v>0</v>
      </c>
      <c r="AC172" s="10"/>
      <c r="AE172" s="112"/>
      <c r="AF172" s="112"/>
      <c r="AG172" s="115">
        <f>SUM(AG35:AG171)</f>
        <v>211745</v>
      </c>
    </row>
    <row r="173" spans="1:33" ht="15" hidden="1" customHeight="1" thickBot="1">
      <c r="A173" s="14"/>
      <c r="B173" s="14"/>
      <c r="C173" s="14"/>
      <c r="D173" s="594"/>
      <c r="E173" s="301"/>
      <c r="F173" s="15"/>
      <c r="G173" s="148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111"/>
      <c r="W173" s="16"/>
      <c r="X173" s="10"/>
      <c r="Y173" s="10"/>
      <c r="Z173" s="116"/>
      <c r="AA173" s="116"/>
      <c r="AB173" s="112">
        <f t="shared" ref="AB173:AB178" si="76">Z173+AA173</f>
        <v>0</v>
      </c>
      <c r="AC173" s="10"/>
      <c r="AD173" s="112"/>
      <c r="AE173" s="112"/>
      <c r="AF173" s="112"/>
      <c r="AG173" s="122"/>
    </row>
    <row r="174" spans="1:33" ht="15" hidden="1" customHeight="1" thickBot="1">
      <c r="A174" s="14"/>
      <c r="B174" s="14"/>
      <c r="C174" s="14"/>
      <c r="D174" s="594"/>
      <c r="E174" s="301"/>
      <c r="F174" s="15"/>
      <c r="G174" s="148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111"/>
      <c r="W174" s="16"/>
      <c r="X174" s="10"/>
      <c r="Y174" s="10"/>
      <c r="Z174" s="116"/>
      <c r="AA174" s="116"/>
      <c r="AB174" s="112">
        <f t="shared" si="76"/>
        <v>0</v>
      </c>
      <c r="AC174" s="10"/>
      <c r="AD174" s="112"/>
      <c r="AE174" s="112"/>
      <c r="AF174" s="112"/>
      <c r="AG174" s="122"/>
    </row>
    <row r="175" spans="1:33" ht="15" hidden="1" customHeight="1" thickBot="1">
      <c r="A175" s="14"/>
      <c r="B175" s="14"/>
      <c r="C175" s="14"/>
      <c r="D175" s="594"/>
      <c r="E175" s="301"/>
      <c r="F175" s="15"/>
      <c r="G175" s="148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111"/>
      <c r="W175" s="16"/>
      <c r="X175" s="10"/>
      <c r="Y175" s="10"/>
      <c r="Z175" s="116"/>
      <c r="AA175" s="116"/>
      <c r="AB175" s="112">
        <f t="shared" si="76"/>
        <v>0</v>
      </c>
      <c r="AC175" s="10"/>
      <c r="AD175" s="112"/>
      <c r="AE175" s="112"/>
      <c r="AF175" s="112"/>
      <c r="AG175" s="122"/>
    </row>
    <row r="176" spans="1:33" ht="15" hidden="1" customHeight="1" thickBot="1">
      <c r="A176" s="14"/>
      <c r="B176" s="14"/>
      <c r="C176" s="14"/>
      <c r="D176" s="594"/>
      <c r="E176" s="301"/>
      <c r="F176" s="15"/>
      <c r="G176" s="148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111"/>
      <c r="W176" s="16"/>
      <c r="X176" s="10"/>
      <c r="Y176" s="10"/>
      <c r="Z176" s="116"/>
      <c r="AA176" s="116"/>
      <c r="AB176" s="112">
        <f t="shared" si="76"/>
        <v>0</v>
      </c>
      <c r="AC176" s="10"/>
      <c r="AD176" s="112"/>
      <c r="AE176" s="112"/>
      <c r="AF176" s="112"/>
      <c r="AG176" s="122"/>
    </row>
    <row r="177" spans="1:33" ht="15" hidden="1" customHeight="1" thickBot="1">
      <c r="A177" s="14"/>
      <c r="B177" s="14"/>
      <c r="C177" s="14"/>
      <c r="D177" s="594"/>
      <c r="E177" s="301"/>
      <c r="F177" s="15"/>
      <c r="G177" s="148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111"/>
      <c r="W177" s="16"/>
      <c r="X177" s="10"/>
      <c r="Y177" s="10"/>
      <c r="Z177" s="116"/>
      <c r="AA177" s="116"/>
      <c r="AB177" s="112">
        <f t="shared" si="76"/>
        <v>0</v>
      </c>
      <c r="AC177" s="10"/>
      <c r="AD177" s="112"/>
      <c r="AE177" s="112"/>
      <c r="AF177" s="112"/>
      <c r="AG177" s="122"/>
    </row>
    <row r="178" spans="1:33" ht="15" hidden="1" customHeight="1" thickBot="1">
      <c r="A178" s="14"/>
      <c r="B178" s="14"/>
      <c r="C178" s="14"/>
      <c r="D178" s="594"/>
      <c r="E178" s="301"/>
      <c r="F178" s="15"/>
      <c r="G178" s="148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111"/>
      <c r="W178" s="16"/>
      <c r="X178" s="10"/>
      <c r="Y178" s="10"/>
      <c r="Z178" s="116"/>
      <c r="AA178" s="116"/>
      <c r="AB178" s="112">
        <f t="shared" si="76"/>
        <v>0</v>
      </c>
      <c r="AC178" s="10"/>
      <c r="AD178" s="112"/>
      <c r="AE178" s="112"/>
      <c r="AF178" s="112"/>
      <c r="AG178" s="122"/>
    </row>
    <row r="179" spans="1:33" ht="3.75" customHeight="1" thickBot="1">
      <c r="A179" s="14"/>
      <c r="B179" s="14"/>
      <c r="C179" s="14"/>
      <c r="D179" s="594"/>
      <c r="E179" s="301"/>
      <c r="F179" s="15"/>
      <c r="G179" s="148"/>
      <c r="H179" s="131"/>
      <c r="I179" s="131"/>
      <c r="J179" s="131"/>
      <c r="K179" s="95"/>
      <c r="L179" s="95"/>
      <c r="M179" s="95"/>
      <c r="N179" s="95"/>
      <c r="O179" s="95"/>
      <c r="P179" s="95"/>
      <c r="Q179" s="95"/>
      <c r="R179" s="95"/>
      <c r="S179" s="95"/>
      <c r="T179" s="131"/>
      <c r="U179" s="131"/>
      <c r="V179" s="129"/>
      <c r="W179" s="16"/>
      <c r="X179" s="10"/>
      <c r="Y179" s="10"/>
      <c r="Z179" s="116"/>
      <c r="AA179" s="116"/>
      <c r="AB179" s="116"/>
      <c r="AC179" s="10"/>
      <c r="AD179" s="112"/>
      <c r="AE179" s="112"/>
      <c r="AF179" s="112"/>
      <c r="AG179" s="122"/>
    </row>
    <row r="180" spans="1:33" ht="15" customHeight="1" thickBot="1">
      <c r="A180" s="371"/>
      <c r="B180" s="415"/>
      <c r="C180" s="415"/>
      <c r="D180" s="595"/>
      <c r="E180" s="668" t="s">
        <v>1</v>
      </c>
      <c r="F180" s="668"/>
      <c r="G180" s="669"/>
      <c r="H180" s="406">
        <f>SUM(H10:H168)</f>
        <v>42935000</v>
      </c>
      <c r="I180" s="406">
        <f>SUM(I10:I178)</f>
        <v>66440000</v>
      </c>
      <c r="J180" s="406">
        <f>SUM(J10:J178)</f>
        <v>5000000</v>
      </c>
      <c r="K180" s="403">
        <f t="shared" ref="K180:S180" si="77">SUM(K10:K179)</f>
        <v>23381549.999999929</v>
      </c>
      <c r="L180" s="403">
        <f t="shared" si="77"/>
        <v>1212727.2024619724</v>
      </c>
      <c r="M180" s="403">
        <f t="shared" si="77"/>
        <v>2881875.7234248552</v>
      </c>
      <c r="N180" s="403">
        <f t="shared" si="77"/>
        <v>1549116.2065099035</v>
      </c>
      <c r="O180" s="403">
        <f t="shared" si="77"/>
        <v>1637930.1433967904</v>
      </c>
      <c r="P180" s="403">
        <f t="shared" si="77"/>
        <v>2411744.4571446981</v>
      </c>
      <c r="Q180" s="567">
        <f>SUM(Q10:Q178)</f>
        <v>5724950.2500004889</v>
      </c>
      <c r="R180" s="567">
        <f>SUM(R10:R101)</f>
        <v>4860000.0000000028</v>
      </c>
      <c r="S180" s="407">
        <f t="shared" si="77"/>
        <v>9394461.9901477341</v>
      </c>
      <c r="T180" s="409">
        <f>SUM(T10:T168)</f>
        <v>114005000</v>
      </c>
      <c r="U180" s="409">
        <f>SUM(U10:U168)</f>
        <v>51546355.973086394</v>
      </c>
      <c r="V180" s="409">
        <f>SUM(V10:V178)</f>
        <v>148640431.99279094</v>
      </c>
      <c r="W180" s="132"/>
      <c r="X180" s="10"/>
      <c r="Y180" s="10"/>
      <c r="Z180" s="614">
        <f>SUM(Z10:Z179)</f>
        <v>4346312.0038594808</v>
      </c>
      <c r="AA180" s="612">
        <f>Z9-Z180</f>
        <v>513687.99614051916</v>
      </c>
      <c r="AB180" s="614">
        <f>SUM(AB10:AB101)</f>
        <v>4860000.0000000028</v>
      </c>
      <c r="AC180" s="304">
        <f>SUM(AC10:AC179)</f>
        <v>0</v>
      </c>
      <c r="AD180" s="305">
        <f>SUM(AD10:AD108)</f>
        <v>3880396.7590874606</v>
      </c>
      <c r="AE180" s="306">
        <f>SUM(AE10:AE172)</f>
        <v>2700000.0000000005</v>
      </c>
      <c r="AF180" s="306">
        <f>SUM(AF10:AF108)</f>
        <v>3880396.7590874606</v>
      </c>
      <c r="AG180" s="113">
        <f>AC180+AG172</f>
        <v>211745</v>
      </c>
    </row>
    <row r="181" spans="1:33" ht="15" customHeight="1" thickBot="1">
      <c r="B181" s="416"/>
      <c r="C181" s="418"/>
      <c r="D181" s="596"/>
      <c r="E181" s="417"/>
      <c r="F181" s="418"/>
      <c r="G181" s="419"/>
      <c r="H181" s="637">
        <f>H180+I180+J180</f>
        <v>114375000</v>
      </c>
      <c r="I181" s="638"/>
      <c r="J181" s="639"/>
      <c r="K181" s="404"/>
      <c r="L181" s="405">
        <f>(K180+L180+M180+N180+O180+P180+Q180+R180)-S180</f>
        <v>34265431.992790908</v>
      </c>
      <c r="M181" s="405"/>
      <c r="N181" s="405"/>
      <c r="O181" s="405"/>
      <c r="P181" s="405"/>
      <c r="Q181" s="405"/>
      <c r="R181" s="405"/>
      <c r="S181" s="408"/>
      <c r="T181" s="411"/>
      <c r="U181" s="412"/>
      <c r="V181" s="410">
        <f>H180+I180+L181</f>
        <v>143640431.99279091</v>
      </c>
      <c r="W181" s="493">
        <v>65954182.414997958</v>
      </c>
      <c r="X181" s="10"/>
      <c r="Y181" s="10"/>
      <c r="Z181" s="116"/>
      <c r="AA181" s="121">
        <f>SUM(AA10:AA65)</f>
        <v>513687.99614051922</v>
      </c>
      <c r="AB181" s="116"/>
      <c r="AC181" s="305">
        <f>2700000-AC180</f>
        <v>2700000</v>
      </c>
      <c r="AD181" s="304"/>
      <c r="AE181" s="676" t="s">
        <v>590</v>
      </c>
      <c r="AF181" s="329"/>
      <c r="AG181" s="113">
        <f>AE180-O180</f>
        <v>1062069.8566032101</v>
      </c>
    </row>
    <row r="182" spans="1:33" ht="15.75" thickBot="1">
      <c r="B182" s="664">
        <f>77-(14+14)</f>
        <v>49</v>
      </c>
      <c r="C182" s="665"/>
      <c r="D182" s="665"/>
      <c r="E182" s="665"/>
      <c r="F182" s="665"/>
      <c r="G182" s="420" t="s">
        <v>0</v>
      </c>
      <c r="H182" s="413"/>
      <c r="I182" s="414"/>
      <c r="J182" s="414"/>
      <c r="K182" s="414"/>
      <c r="L182" s="414"/>
      <c r="M182" s="414"/>
      <c r="N182" s="414"/>
      <c r="O182" s="414"/>
      <c r="P182" s="414"/>
      <c r="Q182" s="414"/>
      <c r="R182" s="414"/>
      <c r="S182" s="414"/>
      <c r="T182" s="414"/>
      <c r="U182" s="414"/>
      <c r="V182" s="130">
        <f>[1]TOTAL!C5</f>
        <v>25424250</v>
      </c>
      <c r="W182" s="11"/>
      <c r="X182" s="10"/>
      <c r="Y182" s="10"/>
      <c r="Z182" s="116"/>
      <c r="AA182" s="116"/>
      <c r="AB182" s="116"/>
      <c r="AC182" s="675" t="s">
        <v>589</v>
      </c>
      <c r="AD182" s="675"/>
      <c r="AE182" s="676"/>
      <c r="AF182" s="329"/>
    </row>
    <row r="183" spans="1:33">
      <c r="T183" s="101">
        <f>H180+I180+L181</f>
        <v>143640431.99279091</v>
      </c>
      <c r="AC183" s="675"/>
      <c r="AD183" s="675"/>
      <c r="AE183" s="676"/>
      <c r="AF183" s="329"/>
    </row>
    <row r="184" spans="1:33">
      <c r="E184" s="163"/>
      <c r="F184" s="8"/>
      <c r="I184" s="162"/>
      <c r="J184" s="162"/>
      <c r="L184" s="93" t="s">
        <v>407</v>
      </c>
      <c r="V184" s="101">
        <f>TOTAL!C5</f>
        <v>74233396.780954257</v>
      </c>
      <c r="W184" s="123"/>
      <c r="X184" s="123"/>
      <c r="Y184" s="123"/>
      <c r="Z184" s="214"/>
      <c r="AA184" s="214"/>
      <c r="AB184" s="214"/>
      <c r="AC184" s="675"/>
      <c r="AD184" s="675"/>
      <c r="AE184" s="676"/>
      <c r="AF184" s="329"/>
    </row>
    <row r="185" spans="1:33">
      <c r="D185" s="337">
        <v>43900</v>
      </c>
      <c r="E185" s="324" t="s">
        <v>1125</v>
      </c>
      <c r="F185" t="s">
        <v>1126</v>
      </c>
      <c r="G185" s="291">
        <v>202500</v>
      </c>
      <c r="I185" s="162"/>
      <c r="J185" s="162"/>
      <c r="V185" s="101">
        <f>V180-V184</f>
        <v>74407035.211836681</v>
      </c>
    </row>
    <row r="186" spans="1:33">
      <c r="D186" s="337">
        <v>43900</v>
      </c>
      <c r="E186" s="324" t="s">
        <v>1127</v>
      </c>
      <c r="F186" t="s">
        <v>1126</v>
      </c>
      <c r="G186" s="291">
        <v>202500</v>
      </c>
      <c r="I186" s="162"/>
      <c r="J186" s="162"/>
      <c r="V186" s="303">
        <f>SUM(V10:V98)</f>
        <v>147810457.98863468</v>
      </c>
      <c r="W186" s="2" t="s">
        <v>588</v>
      </c>
    </row>
    <row r="187" spans="1:33">
      <c r="D187" s="337">
        <v>43900</v>
      </c>
      <c r="E187" s="324" t="s">
        <v>1128</v>
      </c>
      <c r="F187" t="s">
        <v>1126</v>
      </c>
      <c r="G187" s="291">
        <v>405000</v>
      </c>
    </row>
    <row r="188" spans="1:33" s="339" customFormat="1">
      <c r="D188" s="337">
        <v>43900</v>
      </c>
      <c r="E188" s="324" t="s">
        <v>1129</v>
      </c>
      <c r="F188" t="s">
        <v>1126</v>
      </c>
      <c r="G188" s="291">
        <v>810000</v>
      </c>
      <c r="H188" s="340"/>
      <c r="I188" s="340"/>
      <c r="J188" s="340"/>
      <c r="K188" s="340"/>
      <c r="L188" s="340"/>
      <c r="M188" s="340"/>
      <c r="N188" s="340"/>
      <c r="O188" s="340"/>
      <c r="P188" s="340"/>
      <c r="Q188" s="340"/>
      <c r="R188" s="340"/>
      <c r="S188" s="340"/>
      <c r="T188" s="340"/>
      <c r="U188" s="340"/>
      <c r="V188" s="340">
        <v>11368516.745554321</v>
      </c>
      <c r="Z188" s="483"/>
      <c r="AA188" s="483"/>
      <c r="AB188" s="483"/>
      <c r="AC188" s="341">
        <v>417571.1271095043</v>
      </c>
      <c r="AD188" s="341">
        <v>12398.956478220192</v>
      </c>
      <c r="AE188" s="341">
        <v>422092.25508133118</v>
      </c>
      <c r="AF188" s="341">
        <v>429970.08358772448</v>
      </c>
    </row>
    <row r="189" spans="1:33">
      <c r="D189" s="337">
        <v>43900</v>
      </c>
      <c r="E189" s="324" t="s">
        <v>1130</v>
      </c>
      <c r="F189" t="s">
        <v>1126</v>
      </c>
      <c r="G189" s="291">
        <v>540000</v>
      </c>
    </row>
    <row r="190" spans="1:33">
      <c r="D190" s="337">
        <v>43900</v>
      </c>
      <c r="E190" s="324" t="s">
        <v>1131</v>
      </c>
      <c r="F190" t="s">
        <v>1126</v>
      </c>
      <c r="G190" s="291">
        <v>540000</v>
      </c>
      <c r="I190" s="340"/>
      <c r="J190" s="340"/>
      <c r="K190" s="340"/>
      <c r="M190" s="340"/>
    </row>
    <row r="191" spans="1:33">
      <c r="M191" s="340"/>
    </row>
    <row r="192" spans="1:33">
      <c r="I192" s="325"/>
      <c r="J192" s="325"/>
      <c r="K192" s="326"/>
      <c r="M192" s="340"/>
    </row>
    <row r="193" spans="9:13">
      <c r="I193" s="325"/>
      <c r="J193" s="325"/>
      <c r="K193" s="326"/>
      <c r="M193" s="355"/>
    </row>
    <row r="194" spans="9:13">
      <c r="I194" s="325"/>
      <c r="J194" s="325"/>
      <c r="K194" s="326"/>
    </row>
    <row r="195" spans="9:13">
      <c r="I195" s="325"/>
      <c r="J195" s="325"/>
      <c r="K195" s="326"/>
    </row>
    <row r="196" spans="9:13">
      <c r="I196" s="326"/>
      <c r="J196" s="326"/>
      <c r="K196" s="350"/>
    </row>
  </sheetData>
  <sortState ref="A16:AG39">
    <sortCondition ref="A16:A39"/>
  </sortState>
  <mergeCells count="25">
    <mergeCell ref="AK26:AL26"/>
    <mergeCell ref="Z8:AB8"/>
    <mergeCell ref="AC182:AD184"/>
    <mergeCell ref="AE181:AE184"/>
    <mergeCell ref="AC6:AD7"/>
    <mergeCell ref="B182:F182"/>
    <mergeCell ref="D6:D8"/>
    <mergeCell ref="E6:E8"/>
    <mergeCell ref="B6:B8"/>
    <mergeCell ref="F6:F8"/>
    <mergeCell ref="E180:G180"/>
    <mergeCell ref="H181:J181"/>
    <mergeCell ref="A6:A8"/>
    <mergeCell ref="U7:U8"/>
    <mergeCell ref="X7:X8"/>
    <mergeCell ref="Y7:Y8"/>
    <mergeCell ref="X6:Y6"/>
    <mergeCell ref="H7:I7"/>
    <mergeCell ref="C6:C8"/>
    <mergeCell ref="W6:W8"/>
    <mergeCell ref="H6:V6"/>
    <mergeCell ref="K7:S7"/>
    <mergeCell ref="V7:V8"/>
    <mergeCell ref="T7:T8"/>
    <mergeCell ref="J7:J8"/>
  </mergeCells>
  <phoneticPr fontId="0" type="noConversion"/>
  <hyperlinks>
    <hyperlink ref="B10" location="'0002'!Print_Area" display="0002"/>
    <hyperlink ref="B14" location="'0004'!Print_Area" display="0004"/>
    <hyperlink ref="B31" location="'0041'!Print_Area" display="0041"/>
    <hyperlink ref="B40" location="'0052'!Print_Area" display="0052"/>
    <hyperlink ref="B47" location="'0062'!A1" display="0062"/>
    <hyperlink ref="B48" location="'0065'!A1" display="0065"/>
    <hyperlink ref="B38" location="'0049'!A1" display="0049"/>
    <hyperlink ref="B49" location="'0067'!A1" display="0067"/>
    <hyperlink ref="B44" location="'0057'!A1" display="0057"/>
    <hyperlink ref="B39" location="'0050'!A1" display="0050"/>
    <hyperlink ref="B37" location="'0048'!Print_Area" display="0048"/>
    <hyperlink ref="B12" location="'0013'!Print_Area" display="0013"/>
    <hyperlink ref="B19" location="'0015'!Print_Area" display="0015"/>
    <hyperlink ref="B54" location="'0080'!A1" display="0080"/>
    <hyperlink ref="B35" location="'0046'!A1" display="0046"/>
    <hyperlink ref="B26" location="'0031'!A1" display="0031"/>
    <hyperlink ref="B15" location="'0051'!Print_Area" display="0051"/>
    <hyperlink ref="B33" location="'0043'!Print_Area" display="0043"/>
    <hyperlink ref="B21" location="'0020'!Print_Area" display="0020"/>
    <hyperlink ref="B45" location="'0059'!A1" display="0059"/>
    <hyperlink ref="B42" location="'0054'!A1" display="0054"/>
    <hyperlink ref="B64" location="'0078'!A1" display="0078"/>
    <hyperlink ref="B56" location="'0082'!Print_Area" display="0082"/>
    <hyperlink ref="B57" location="'0086'!A1" display="0086"/>
    <hyperlink ref="B58" location="'0087'!Print_Area" display="0087"/>
    <hyperlink ref="B63" location="'0034'!Print_Area" display="0034"/>
    <hyperlink ref="B17" location="'0008'!Print_Area" display="0008"/>
    <hyperlink ref="B59" location="'0088'!A1" display="0088"/>
    <hyperlink ref="B60" location="'0089'!A1" tooltip="0089" display="0089"/>
    <hyperlink ref="B24" location="'0029'!A1" display="0029"/>
    <hyperlink ref="B43" location="'0055'!Print_Area" display="0055"/>
    <hyperlink ref="B61" location="'0090'!A1" display="0090"/>
    <hyperlink ref="B65" location="'0092'!Print_Area" display="0092"/>
    <hyperlink ref="B62" location="'0091'!Print_Area" display="0091"/>
    <hyperlink ref="B16" location="'0006'!Print_Area" display="0006"/>
    <hyperlink ref="B66" location="'0093'!Print_Area" display="0093"/>
    <hyperlink ref="B50" location="'0068'!A1" display="0068"/>
    <hyperlink ref="B67" location="'0094'!Print_Area" display="0094"/>
    <hyperlink ref="B68" location="'0095'!Print_Area" display="0095"/>
    <hyperlink ref="B69" location="'0096'!Print_Area" display="0096"/>
    <hyperlink ref="B70" location="'0097'!Print_Area" display="0097"/>
    <hyperlink ref="B71" location="'0098'!Print_Area" display="0098"/>
    <hyperlink ref="B73" location="'0101'!Print_Area" display="0101"/>
    <hyperlink ref="B76" location="'0104'!Print_Area" display="0104"/>
    <hyperlink ref="B72" location="'0099'!Print_Area" display="0099"/>
    <hyperlink ref="B77" location="'0105'!Print_Area" display="0105"/>
    <hyperlink ref="B78" location="'0106'!A1" display="0106"/>
    <hyperlink ref="B79" location="'0107'!A1" display="0107"/>
    <hyperlink ref="B80" location="'0108'!A1" display="0108"/>
    <hyperlink ref="B81" location="'0109'!A1" display="0109"/>
    <hyperlink ref="B82" location="'0110'!A1" display="0110"/>
    <hyperlink ref="B83" location="'0111'!A1" display="0111"/>
    <hyperlink ref="B84" location="'0112'!A1" display="0112"/>
    <hyperlink ref="B85" location="'0113'!A1" display="0113"/>
    <hyperlink ref="B74" location="'0102'!A1" display="0102"/>
    <hyperlink ref="B86" location="'0114'!A1" display="0114"/>
    <hyperlink ref="B87" location="'0115'!A1" display="0115"/>
    <hyperlink ref="B75" location="'0103'!A1" display="0103"/>
    <hyperlink ref="B88" location="'0116'!A1" display="0116"/>
    <hyperlink ref="B28" location="'0037'!A1" display="0037"/>
    <hyperlink ref="B89" location="'0117'!A1" display="0117"/>
    <hyperlink ref="B90" location="'0118'!A1" display="0118"/>
    <hyperlink ref="B91" location="'0119'!A1" display="0119"/>
    <hyperlink ref="B55" location="'0081'!A1" display="0081"/>
    <hyperlink ref="B92" location="'0120'!A1" display="0120"/>
    <hyperlink ref="B93" location="'0121'!A1" display="0121"/>
    <hyperlink ref="B96" location="'0016'!A1" display="0016"/>
    <hyperlink ref="B94" location="'0122'!A1" display="0122"/>
  </hyperlinks>
  <printOptions horizontalCentered="1"/>
  <pageMargins left="0.35433070866141736" right="0.74803149606299213" top="0.35433070866141736" bottom="0.31496062992125984" header="0.15748031496062992" footer="0.27559055118110237"/>
  <pageSetup paperSize="5" scale="65" orientation="landscape" horizontalDpi="4294967294" verticalDpi="300" r:id="rId1"/>
  <headerFooter alignWithMargins="0"/>
  <drawing r:id="rId2"/>
  <legacyDrawing r:id="rId3"/>
  <oleObjects>
    <oleObject progId="CorelDRAW.Graphic.11" shapeId="6145" r:id="rId4"/>
  </oleObject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9">
    <tabColor rgb="FF00B0F0"/>
  </sheetPr>
  <dimension ref="B1:P52"/>
  <sheetViews>
    <sheetView topLeftCell="A26" workbookViewId="0">
      <selection activeCell="B32" sqref="B32"/>
    </sheetView>
  </sheetViews>
  <sheetFormatPr defaultRowHeight="12.75"/>
  <cols>
    <col min="1" max="1" width="0.42578125" style="69" customWidth="1"/>
    <col min="2" max="2" width="10.5703125" style="70" customWidth="1"/>
    <col min="3" max="3" width="1.28515625" style="69" customWidth="1"/>
    <col min="4" max="4" width="9.140625" style="69"/>
    <col min="5" max="5" width="15.7109375" style="69" customWidth="1"/>
    <col min="6" max="6" width="12.85546875" style="68" customWidth="1"/>
    <col min="7" max="7" width="15.42578125" style="68" customWidth="1"/>
    <col min="8" max="8" width="12.140625" style="68" customWidth="1"/>
    <col min="9" max="9" width="5" style="69" customWidth="1"/>
    <col min="10" max="11" width="9.140625" style="69"/>
    <col min="12" max="15" width="14.140625" style="30" customWidth="1"/>
    <col min="16" max="16" width="17.140625" style="30" customWidth="1"/>
    <col min="17" max="16384" width="9.140625" style="69"/>
  </cols>
  <sheetData>
    <row r="1" spans="2:16">
      <c r="B1" s="54" t="s">
        <v>49</v>
      </c>
      <c r="C1" s="55" t="s">
        <v>3</v>
      </c>
      <c r="D1" s="56" t="s">
        <v>90</v>
      </c>
      <c r="E1" s="57"/>
      <c r="F1" s="58"/>
      <c r="G1" s="67" t="s">
        <v>60</v>
      </c>
      <c r="L1" s="679" t="s">
        <v>337</v>
      </c>
      <c r="M1" s="679"/>
      <c r="N1" s="679"/>
      <c r="O1" s="679"/>
      <c r="P1" s="679"/>
    </row>
    <row r="2" spans="2:16">
      <c r="B2" s="70" t="s">
        <v>50</v>
      </c>
      <c r="C2" s="69" t="s">
        <v>3</v>
      </c>
      <c r="D2" s="71" t="s">
        <v>78</v>
      </c>
      <c r="G2" s="72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70" t="s">
        <v>11</v>
      </c>
      <c r="C3" s="69" t="s">
        <v>3</v>
      </c>
      <c r="D3" s="73" t="s">
        <v>128</v>
      </c>
      <c r="G3" s="72" t="s">
        <v>61</v>
      </c>
      <c r="H3" s="68" t="s">
        <v>91</v>
      </c>
      <c r="L3" s="92">
        <f>F15</f>
        <v>200000</v>
      </c>
      <c r="M3" s="92">
        <f>F16</f>
        <v>20000</v>
      </c>
      <c r="N3" s="92">
        <f>F18</f>
        <v>10000</v>
      </c>
      <c r="O3" s="92">
        <f>F20</f>
        <v>108755.11688315697</v>
      </c>
      <c r="P3" s="92"/>
    </row>
    <row r="4" spans="2:16">
      <c r="D4" s="69" t="s">
        <v>52</v>
      </c>
      <c r="G4" s="72" t="s">
        <v>62</v>
      </c>
      <c r="L4" s="156">
        <v>300000</v>
      </c>
      <c r="M4" s="92">
        <f>F17</f>
        <v>140000</v>
      </c>
      <c r="N4" s="92">
        <f>F19</f>
        <v>1000000</v>
      </c>
      <c r="O4" s="68">
        <v>758569.72228426323</v>
      </c>
    </row>
    <row r="5" spans="2:16">
      <c r="G5" s="72"/>
      <c r="M5" s="92">
        <f>F21</f>
        <v>500000</v>
      </c>
      <c r="N5" s="92">
        <f>F22</f>
        <v>5800000</v>
      </c>
      <c r="O5" s="30">
        <v>-758000</v>
      </c>
    </row>
    <row r="6" spans="2:16">
      <c r="G6" s="72" t="s">
        <v>54</v>
      </c>
      <c r="M6" s="156">
        <v>250000</v>
      </c>
      <c r="N6" s="156">
        <v>750000</v>
      </c>
    </row>
    <row r="7" spans="2:16">
      <c r="G7" s="72" t="s">
        <v>55</v>
      </c>
      <c r="M7" s="156">
        <v>200000</v>
      </c>
      <c r="N7" s="156">
        <v>-200000</v>
      </c>
    </row>
    <row r="8" spans="2:16">
      <c r="G8" s="72"/>
      <c r="M8" s="156">
        <v>-300000</v>
      </c>
      <c r="N8" s="167">
        <v>-7000000</v>
      </c>
    </row>
    <row r="9" spans="2:16">
      <c r="M9" s="156"/>
      <c r="N9" s="156">
        <v>-200000</v>
      </c>
    </row>
    <row r="10" spans="2:16">
      <c r="M10" s="156"/>
      <c r="N10" s="156"/>
    </row>
    <row r="11" spans="2:16">
      <c r="G11" s="68" t="s">
        <v>56</v>
      </c>
      <c r="M11" s="156"/>
      <c r="N11" s="156"/>
    </row>
    <row r="12" spans="2:16">
      <c r="M12" s="156"/>
      <c r="N12" s="156"/>
    </row>
    <row r="13" spans="2:16">
      <c r="M13" s="156"/>
      <c r="N13" s="156"/>
    </row>
    <row r="14" spans="2:16">
      <c r="B14" s="70" t="s">
        <v>57</v>
      </c>
      <c r="D14" s="69" t="s">
        <v>58</v>
      </c>
      <c r="F14" s="74" t="s">
        <v>87</v>
      </c>
      <c r="G14" s="74" t="s">
        <v>88</v>
      </c>
      <c r="H14" s="74" t="s">
        <v>89</v>
      </c>
      <c r="M14" s="156"/>
      <c r="N14" s="156"/>
    </row>
    <row r="15" spans="2:16" ht="15" customHeight="1">
      <c r="B15" s="70">
        <v>40634</v>
      </c>
      <c r="D15" s="69" t="s">
        <v>59</v>
      </c>
      <c r="F15" s="68">
        <v>200000</v>
      </c>
      <c r="G15" s="75"/>
      <c r="H15" s="68">
        <f>F15-G15</f>
        <v>200000</v>
      </c>
      <c r="M15" s="156"/>
      <c r="N15" s="156"/>
    </row>
    <row r="16" spans="2:16" ht="15" customHeight="1">
      <c r="B16" s="70">
        <v>40634</v>
      </c>
      <c r="D16" s="69" t="s">
        <v>102</v>
      </c>
      <c r="F16" s="68">
        <v>20000</v>
      </c>
      <c r="H16" s="68">
        <f t="shared" ref="H16:H32" si="0">H15+F16-G16</f>
        <v>220000</v>
      </c>
      <c r="M16" s="156"/>
      <c r="N16" s="156"/>
    </row>
    <row r="17" spans="2:14" ht="15" customHeight="1">
      <c r="B17" s="70">
        <v>40823</v>
      </c>
      <c r="D17" s="69" t="s">
        <v>301</v>
      </c>
      <c r="F17" s="68">
        <v>140000</v>
      </c>
      <c r="H17" s="68">
        <f t="shared" si="0"/>
        <v>360000</v>
      </c>
      <c r="M17" s="156"/>
      <c r="N17" s="156"/>
    </row>
    <row r="18" spans="2:14" ht="15" customHeight="1">
      <c r="B18" s="70">
        <v>40823</v>
      </c>
      <c r="D18" s="69" t="s">
        <v>302</v>
      </c>
      <c r="F18" s="68">
        <v>10000</v>
      </c>
      <c r="H18" s="68">
        <f t="shared" si="0"/>
        <v>370000</v>
      </c>
      <c r="M18" s="156"/>
      <c r="N18" s="156"/>
    </row>
    <row r="19" spans="2:14" ht="15" customHeight="1">
      <c r="B19" s="19" t="s">
        <v>329</v>
      </c>
      <c r="D19" s="69" t="s">
        <v>302</v>
      </c>
      <c r="F19" s="68">
        <v>1000000</v>
      </c>
      <c r="H19" s="68">
        <f t="shared" si="0"/>
        <v>1370000</v>
      </c>
      <c r="M19" s="156"/>
      <c r="N19" s="156"/>
    </row>
    <row r="20" spans="2:14" ht="15" customHeight="1">
      <c r="B20" s="19">
        <v>41274</v>
      </c>
      <c r="C20"/>
      <c r="D20" t="s">
        <v>392</v>
      </c>
      <c r="F20" s="68">
        <v>108755.11688315697</v>
      </c>
      <c r="H20" s="68">
        <f t="shared" si="0"/>
        <v>1478755.1168831571</v>
      </c>
      <c r="M20" s="156"/>
      <c r="N20" s="156"/>
    </row>
    <row r="21" spans="2:14" ht="15" customHeight="1">
      <c r="B21" s="19">
        <v>41399</v>
      </c>
      <c r="D21" s="93" t="s">
        <v>429</v>
      </c>
      <c r="F21" s="68">
        <v>500000</v>
      </c>
      <c r="H21" s="68">
        <f t="shared" si="0"/>
        <v>1978755.1168831571</v>
      </c>
      <c r="M21" s="156"/>
      <c r="N21" s="156"/>
    </row>
    <row r="22" spans="2:14" ht="15" customHeight="1">
      <c r="B22" s="19">
        <v>41599</v>
      </c>
      <c r="D22" s="55" t="s">
        <v>282</v>
      </c>
      <c r="F22" s="68">
        <v>5800000</v>
      </c>
      <c r="H22" s="68">
        <f t="shared" si="0"/>
        <v>7778755.1168831568</v>
      </c>
      <c r="M22" s="156"/>
      <c r="N22" s="156"/>
    </row>
    <row r="23" spans="2:14" ht="15" customHeight="1">
      <c r="B23" s="70">
        <v>41640</v>
      </c>
      <c r="D23" s="55" t="s">
        <v>499</v>
      </c>
      <c r="F23" s="68">
        <v>758569.72228426323</v>
      </c>
      <c r="H23" s="68">
        <f t="shared" si="0"/>
        <v>8537324.8391674198</v>
      </c>
      <c r="M23" s="156"/>
      <c r="N23" s="156"/>
    </row>
    <row r="24" spans="2:14" ht="15" customHeight="1">
      <c r="B24" s="19">
        <v>41640</v>
      </c>
      <c r="C24"/>
      <c r="D24" t="s">
        <v>503</v>
      </c>
      <c r="E24"/>
      <c r="G24" s="68">
        <v>758000</v>
      </c>
      <c r="H24" s="68">
        <f t="shared" si="0"/>
        <v>7779324.8391674198</v>
      </c>
      <c r="M24" s="156"/>
      <c r="N24" s="156"/>
    </row>
    <row r="25" spans="2:14" ht="15" customHeight="1">
      <c r="B25" s="19">
        <v>41713</v>
      </c>
      <c r="D25" s="55" t="s">
        <v>525</v>
      </c>
      <c r="F25" s="68">
        <v>250000</v>
      </c>
      <c r="H25" s="68">
        <f t="shared" si="0"/>
        <v>8029324.8391674198</v>
      </c>
      <c r="M25" s="156"/>
      <c r="N25" s="156"/>
    </row>
    <row r="26" spans="2:14" ht="15" customHeight="1">
      <c r="B26" s="19">
        <v>41713</v>
      </c>
      <c r="D26" s="55" t="s">
        <v>282</v>
      </c>
      <c r="F26" s="68">
        <v>750000</v>
      </c>
      <c r="H26" s="68">
        <f t="shared" si="0"/>
        <v>8779324.8391674198</v>
      </c>
      <c r="M26" s="156"/>
      <c r="N26" s="156"/>
    </row>
    <row r="27" spans="2:14" ht="15" customHeight="1">
      <c r="B27" s="19">
        <v>41890</v>
      </c>
      <c r="D27" s="55" t="s">
        <v>550</v>
      </c>
      <c r="G27" s="68">
        <v>200000</v>
      </c>
      <c r="H27" s="68">
        <f t="shared" si="0"/>
        <v>8579324.8391674198</v>
      </c>
      <c r="M27" s="156"/>
      <c r="N27" s="156"/>
    </row>
    <row r="28" spans="2:14" ht="15" customHeight="1">
      <c r="B28" s="19">
        <v>41890</v>
      </c>
      <c r="D28" s="55" t="s">
        <v>549</v>
      </c>
      <c r="F28" s="68">
        <v>200000</v>
      </c>
      <c r="H28" s="68">
        <f t="shared" si="0"/>
        <v>8779324.8391674198</v>
      </c>
      <c r="M28" s="156"/>
      <c r="N28" s="156"/>
    </row>
    <row r="29" spans="2:14" ht="15" customHeight="1">
      <c r="B29" s="19">
        <v>41891</v>
      </c>
      <c r="D29" s="55" t="s">
        <v>550</v>
      </c>
      <c r="G29" s="68">
        <v>7000000</v>
      </c>
      <c r="H29" s="68">
        <f t="shared" si="0"/>
        <v>1779324.8391674198</v>
      </c>
      <c r="M29" s="156"/>
      <c r="N29" s="156"/>
    </row>
    <row r="30" spans="2:14" ht="15" customHeight="1">
      <c r="B30" s="70">
        <v>42917</v>
      </c>
      <c r="D30" s="55" t="s">
        <v>772</v>
      </c>
      <c r="G30" s="68">
        <v>200000</v>
      </c>
      <c r="H30" s="68">
        <f t="shared" si="0"/>
        <v>1579324.8391674198</v>
      </c>
      <c r="M30" s="156"/>
      <c r="N30" s="156"/>
    </row>
    <row r="31" spans="2:14" ht="15" customHeight="1">
      <c r="B31" s="70">
        <v>42917</v>
      </c>
      <c r="D31" s="55" t="s">
        <v>803</v>
      </c>
      <c r="F31" s="68">
        <v>300000</v>
      </c>
      <c r="G31" s="68">
        <v>300000</v>
      </c>
      <c r="H31" s="68">
        <f t="shared" si="0"/>
        <v>1579324.8391674198</v>
      </c>
    </row>
    <row r="32" spans="2:14" ht="15" customHeight="1">
      <c r="H32" s="68">
        <f t="shared" si="0"/>
        <v>1579324.8391674198</v>
      </c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51" spans="2:16" customFormat="1" ht="15" customHeight="1">
      <c r="B51" s="19"/>
      <c r="D51" s="76" t="s">
        <v>307</v>
      </c>
      <c r="E51" s="48"/>
      <c r="F51" s="53">
        <f>SUM(F15:F50)</f>
        <v>10037324.83916742</v>
      </c>
      <c r="G51" s="53">
        <f>SUM(G15:G50)</f>
        <v>8458000</v>
      </c>
      <c r="H51" s="77">
        <f>F51-G51</f>
        <v>1579324.8391674198</v>
      </c>
      <c r="L51" s="92">
        <f>SUM(L3:L11)</f>
        <v>500000</v>
      </c>
      <c r="M51" s="92">
        <f>SUM(M3:M11)</f>
        <v>810000</v>
      </c>
      <c r="N51" s="92">
        <f>SUM(N3:N11)</f>
        <v>160000</v>
      </c>
      <c r="O51" s="92">
        <f>SUM(O3:O11)</f>
        <v>109324.83916742017</v>
      </c>
      <c r="P51" s="92">
        <f>SUM(P3:P11)</f>
        <v>0</v>
      </c>
    </row>
    <row r="52" spans="2:16">
      <c r="P52" s="92">
        <f>SUM(L51:P51)</f>
        <v>1579324.8391674203</v>
      </c>
    </row>
  </sheetData>
  <mergeCells count="1">
    <mergeCell ref="L1:P1"/>
  </mergeCells>
  <phoneticPr fontId="7" type="noConversion"/>
  <pageMargins left="0.27559055118110237" right="0.74803149606299213" top="0.6692913385826772" bottom="0.98425196850393704" header="0.51181102362204722" footer="0.51181102362204722"/>
  <pageSetup scale="90" orientation="landscape" horizontalDpi="4294967293" verticalDpi="0" r:id="rId1"/>
  <headerFooter alignWithMargins="0"/>
  <legacyDrawing r:id="rId2"/>
  <oleObjects>
    <oleObject progId="CorelDRAW.Graphic.11" shapeId="23553" r:id="rId3"/>
    <oleObject progId="CorelDRAW.Graphic.11" shapeId="23554" r:id="rId4"/>
  </oleObjects>
</worksheet>
</file>

<file path=xl/worksheets/sheet100.xml><?xml version="1.0" encoding="utf-8"?>
<worksheet xmlns="http://schemas.openxmlformats.org/spreadsheetml/2006/main" xmlns:r="http://schemas.openxmlformats.org/officeDocument/2006/relationships">
  <sheetPr>
    <tabColor rgb="FFFF0000"/>
  </sheetPr>
  <dimension ref="B1:P50"/>
  <sheetViews>
    <sheetView workbookViewId="0">
      <selection activeCell="M19" sqref="M19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892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24" t="s">
        <v>153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97" t="s">
        <v>434</v>
      </c>
      <c r="G3" s="18" t="s">
        <v>61</v>
      </c>
      <c r="H3"/>
      <c r="L3" s="92">
        <v>500000</v>
      </c>
      <c r="M3" s="92"/>
      <c r="N3" s="92"/>
      <c r="O3" s="92"/>
      <c r="P3" s="92"/>
    </row>
    <row r="4" spans="2:16">
      <c r="D4" s="93" t="s">
        <v>435</v>
      </c>
      <c r="G4" s="89" t="s">
        <v>379</v>
      </c>
      <c r="H4" s="99" t="s">
        <v>436</v>
      </c>
      <c r="M4" s="92"/>
      <c r="N4" s="92"/>
      <c r="O4" s="92"/>
    </row>
    <row r="5" spans="2:16">
      <c r="G5" s="18"/>
      <c r="M5" s="92"/>
      <c r="N5" s="92"/>
    </row>
    <row r="6" spans="2:16">
      <c r="G6" s="89" t="s">
        <v>381</v>
      </c>
      <c r="H6" s="21" t="str">
        <f>H4</f>
        <v>17/05/20013</v>
      </c>
      <c r="M6" s="92"/>
      <c r="N6" s="92"/>
    </row>
    <row r="7" spans="2:16">
      <c r="G7" s="24" t="s">
        <v>55</v>
      </c>
      <c r="N7" s="92"/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43273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D16" s="93"/>
      <c r="H16" s="21">
        <f t="shared" ref="H16:H29" si="0">H15+F16-G16</f>
        <v>500000</v>
      </c>
    </row>
    <row r="17" spans="4:16" ht="15" customHeight="1">
      <c r="D17" s="93"/>
      <c r="H17" s="21">
        <f t="shared" si="0"/>
        <v>500000</v>
      </c>
    </row>
    <row r="18" spans="4:16" ht="15" customHeight="1">
      <c r="D18" s="93"/>
      <c r="H18" s="21">
        <f t="shared" si="0"/>
        <v>500000</v>
      </c>
    </row>
    <row r="19" spans="4:16" ht="15" customHeight="1">
      <c r="D19" s="93"/>
      <c r="H19" s="21">
        <f t="shared" si="0"/>
        <v>500000</v>
      </c>
    </row>
    <row r="20" spans="4:16" ht="15" customHeight="1">
      <c r="D20" s="93"/>
      <c r="H20" s="21">
        <f t="shared" si="0"/>
        <v>500000</v>
      </c>
    </row>
    <row r="21" spans="4:16" ht="15" customHeight="1">
      <c r="D21" s="93"/>
      <c r="H21" s="21">
        <f t="shared" si="0"/>
        <v>500000</v>
      </c>
    </row>
    <row r="22" spans="4:16" ht="15" customHeight="1">
      <c r="D22" s="93"/>
      <c r="H22" s="21">
        <f t="shared" si="0"/>
        <v>500000</v>
      </c>
    </row>
    <row r="23" spans="4:16" ht="15" customHeight="1">
      <c r="D23" s="55"/>
      <c r="H23" s="21">
        <f t="shared" si="0"/>
        <v>500000</v>
      </c>
    </row>
    <row r="24" spans="4:16" ht="15" customHeight="1">
      <c r="D24" s="55"/>
      <c r="H24" s="21">
        <f t="shared" si="0"/>
        <v>500000</v>
      </c>
    </row>
    <row r="25" spans="4:16" ht="15" customHeight="1">
      <c r="D25" s="55"/>
      <c r="H25" s="21">
        <f t="shared" si="0"/>
        <v>500000</v>
      </c>
    </row>
    <row r="26" spans="4:16" ht="15" customHeight="1">
      <c r="D26" s="55"/>
      <c r="H26" s="21">
        <f t="shared" si="0"/>
        <v>500000</v>
      </c>
    </row>
    <row r="27" spans="4:16" ht="15" customHeight="1">
      <c r="H27" s="21">
        <f t="shared" si="0"/>
        <v>500000</v>
      </c>
    </row>
    <row r="28" spans="4:16" ht="15" customHeight="1">
      <c r="H28" s="21">
        <f t="shared" si="0"/>
        <v>500000</v>
      </c>
    </row>
    <row r="29" spans="4:16" ht="15" customHeight="1">
      <c r="H29" s="21">
        <f t="shared" si="0"/>
        <v>500000</v>
      </c>
    </row>
    <row r="30" spans="4:16" ht="15" customHeight="1">
      <c r="L30" s="92">
        <f>SUM(L3:L11)</f>
        <v>500000</v>
      </c>
      <c r="M30" s="92">
        <f>SUM(M3:M11)</f>
        <v>0</v>
      </c>
      <c r="N30" s="92">
        <f>SUM(N3:N11)</f>
        <v>0</v>
      </c>
      <c r="O30" s="92">
        <f>SUM(O3:O11)</f>
        <v>0</v>
      </c>
      <c r="P30" s="92">
        <f>SUM(P3:P11)</f>
        <v>0</v>
      </c>
    </row>
    <row r="31" spans="4:16" ht="15" customHeight="1">
      <c r="P31" s="92">
        <f>SUM(L30:P30)</f>
        <v>500000</v>
      </c>
    </row>
    <row r="32" spans="4:1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8" ht="15" customHeight="1">
      <c r="D50" s="76" t="s">
        <v>307</v>
      </c>
      <c r="E50" s="48"/>
      <c r="F50" s="53">
        <f>SUM(F15:F49)</f>
        <v>500000</v>
      </c>
      <c r="G50" s="53">
        <f>SUM(G15:G49)</f>
        <v>0</v>
      </c>
      <c r="H50" s="77">
        <f>F50-G50</f>
        <v>500000</v>
      </c>
    </row>
  </sheetData>
  <mergeCells count="1">
    <mergeCell ref="L1:P1"/>
  </mergeCells>
  <pageMargins left="0.31496062992125984" right="0.70866141732283472" top="0.35433070866141736" bottom="0.35433070866141736" header="0.31496062992125984" footer="0.31496062992125984"/>
  <pageSetup paperSize="5" scale="90" orientation="landscape" horizontalDpi="4294967293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>
  <sheetPr>
    <tabColor rgb="FFFF0000"/>
  </sheetPr>
  <dimension ref="B1:P49"/>
  <sheetViews>
    <sheetView zoomScale="80" zoomScaleNormal="80" workbookViewId="0">
      <selection activeCell="B19" sqref="B19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828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178</v>
      </c>
      <c r="G2" s="18" t="s">
        <v>53</v>
      </c>
      <c r="H2" s="159"/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829</v>
      </c>
      <c r="G3" s="18" t="s">
        <v>61</v>
      </c>
      <c r="H3" s="292"/>
      <c r="L3" s="21">
        <v>500000</v>
      </c>
      <c r="M3" s="92">
        <v>50000</v>
      </c>
      <c r="N3" s="92">
        <v>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v>43048</v>
      </c>
      <c r="L4" s="92"/>
      <c r="M4" s="92">
        <v>300000</v>
      </c>
      <c r="N4" s="92"/>
      <c r="O4" s="92"/>
    </row>
    <row r="5" spans="2:16">
      <c r="G5" s="18"/>
      <c r="M5" s="92">
        <v>1000000</v>
      </c>
    </row>
    <row r="6" spans="2:16">
      <c r="C6" s="686" t="s">
        <v>638</v>
      </c>
      <c r="D6" s="686"/>
      <c r="E6" s="686"/>
      <c r="G6" s="89" t="s">
        <v>381</v>
      </c>
      <c r="H6" s="142">
        <f>H4</f>
        <v>43048</v>
      </c>
      <c r="M6" s="92"/>
    </row>
    <row r="7" spans="2:16">
      <c r="G7" s="24" t="s">
        <v>55</v>
      </c>
      <c r="M7" s="92"/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43048</v>
      </c>
      <c r="D15" s="55" t="s">
        <v>614</v>
      </c>
      <c r="F15" s="21">
        <v>500000</v>
      </c>
      <c r="H15" s="21">
        <f>F15-G15</f>
        <v>500000</v>
      </c>
    </row>
    <row r="16" spans="2:16" ht="15" customHeight="1">
      <c r="B16" s="19">
        <v>43048</v>
      </c>
      <c r="D16" s="55" t="s">
        <v>286</v>
      </c>
      <c r="F16" s="21">
        <v>50000</v>
      </c>
      <c r="H16" s="21">
        <f>H15+F16-G16</f>
        <v>550000</v>
      </c>
    </row>
    <row r="17" spans="2:16" ht="15" customHeight="1">
      <c r="B17" s="19">
        <v>43503</v>
      </c>
      <c r="D17" s="55" t="s">
        <v>986</v>
      </c>
      <c r="F17" s="21">
        <v>300000</v>
      </c>
      <c r="H17" s="21">
        <f t="shared" ref="H17:H18" si="0">H16+F17-G17</f>
        <v>850000</v>
      </c>
    </row>
    <row r="18" spans="2:16" ht="15" customHeight="1">
      <c r="B18" s="19">
        <v>43833</v>
      </c>
      <c r="D18" s="55" t="s">
        <v>993</v>
      </c>
      <c r="F18" s="21">
        <v>1000000</v>
      </c>
      <c r="H18" s="21">
        <f t="shared" si="0"/>
        <v>1850000</v>
      </c>
    </row>
    <row r="19" spans="2:16" ht="15" customHeight="1"/>
    <row r="20" spans="2:16" ht="15" customHeight="1">
      <c r="B20" s="302"/>
      <c r="F20"/>
    </row>
    <row r="21" spans="2:16" ht="15" customHeight="1"/>
    <row r="22" spans="2:16" ht="15" customHeight="1">
      <c r="B22" s="302"/>
    </row>
    <row r="23" spans="2:16" ht="15" customHeight="1">
      <c r="B23" s="337"/>
    </row>
    <row r="24" spans="2:16" ht="15" customHeight="1">
      <c r="B24" s="337"/>
    </row>
    <row r="25" spans="2:16" ht="15" customHeight="1">
      <c r="B25" s="337"/>
    </row>
    <row r="26" spans="2:16" ht="15" customHeight="1">
      <c r="B26" s="337"/>
    </row>
    <row r="27" spans="2:16" ht="15" customHeight="1">
      <c r="B27"/>
    </row>
    <row r="28" spans="2:16" ht="15" customHeight="1">
      <c r="B28"/>
    </row>
    <row r="29" spans="2:16" ht="15" customHeight="1">
      <c r="B29"/>
    </row>
    <row r="30" spans="2:16" ht="15" customHeight="1">
      <c r="B30"/>
    </row>
    <row r="31" spans="2:16">
      <c r="B31"/>
      <c r="F31"/>
      <c r="G31"/>
      <c r="H31"/>
    </row>
    <row r="32" spans="2:16">
      <c r="B32"/>
      <c r="F32"/>
      <c r="G32"/>
      <c r="H32"/>
      <c r="L32"/>
      <c r="M32"/>
      <c r="N32"/>
      <c r="O32"/>
      <c r="P32"/>
    </row>
    <row r="33" spans="2:16">
      <c r="B33"/>
      <c r="F33"/>
      <c r="G33"/>
      <c r="H33"/>
      <c r="L33"/>
      <c r="M33"/>
      <c r="N33"/>
      <c r="O33"/>
      <c r="P33"/>
    </row>
    <row r="34" spans="2:16">
      <c r="B34"/>
      <c r="F34"/>
      <c r="G34"/>
      <c r="H34"/>
      <c r="L34"/>
      <c r="M34"/>
      <c r="N34"/>
      <c r="O34"/>
      <c r="P34"/>
    </row>
    <row r="35" spans="2:16">
      <c r="B35"/>
      <c r="F35"/>
      <c r="G35"/>
      <c r="H35"/>
      <c r="L35"/>
      <c r="M35"/>
      <c r="N35"/>
      <c r="O35"/>
      <c r="P35"/>
    </row>
    <row r="36" spans="2:16">
      <c r="B36"/>
      <c r="F36"/>
      <c r="G36"/>
      <c r="H36"/>
      <c r="L36"/>
      <c r="M36"/>
      <c r="N36"/>
      <c r="O36"/>
      <c r="P36"/>
    </row>
    <row r="37" spans="2:16">
      <c r="B37"/>
      <c r="F37"/>
      <c r="G37"/>
      <c r="H37"/>
      <c r="L37"/>
      <c r="M37"/>
      <c r="N37"/>
      <c r="O37"/>
      <c r="P37"/>
    </row>
    <row r="38" spans="2:16">
      <c r="B38"/>
      <c r="F38"/>
      <c r="G38"/>
      <c r="H38"/>
      <c r="L38"/>
      <c r="M38"/>
      <c r="N38"/>
      <c r="O38"/>
      <c r="P38"/>
    </row>
    <row r="39" spans="2:16">
      <c r="B39"/>
      <c r="F39"/>
      <c r="G39"/>
      <c r="H39"/>
      <c r="L39"/>
      <c r="M39"/>
      <c r="N39"/>
      <c r="O39"/>
      <c r="P39"/>
    </row>
    <row r="40" spans="2:16">
      <c r="B40"/>
      <c r="F40"/>
      <c r="G40"/>
      <c r="H40"/>
      <c r="L40"/>
      <c r="M40"/>
      <c r="N40"/>
      <c r="O40"/>
      <c r="P40"/>
    </row>
    <row r="41" spans="2:16">
      <c r="B41"/>
      <c r="F41"/>
      <c r="G41"/>
      <c r="H41"/>
      <c r="L41"/>
      <c r="M41"/>
      <c r="N41"/>
      <c r="O41"/>
      <c r="P41"/>
    </row>
    <row r="42" spans="2:16">
      <c r="B42"/>
      <c r="F42"/>
      <c r="G42"/>
      <c r="H42"/>
      <c r="L42"/>
      <c r="M42"/>
      <c r="N42"/>
      <c r="O42"/>
      <c r="P42"/>
    </row>
    <row r="43" spans="2:16">
      <c r="B43"/>
      <c r="F43"/>
      <c r="G43"/>
      <c r="H43"/>
      <c r="L43"/>
      <c r="M43"/>
      <c r="N43"/>
      <c r="O43"/>
      <c r="P43"/>
    </row>
    <row r="48" spans="2:16">
      <c r="B48"/>
      <c r="D48" s="76" t="s">
        <v>307</v>
      </c>
      <c r="E48" s="48"/>
      <c r="F48" s="53">
        <f>SUM(F15:F47)</f>
        <v>1850000</v>
      </c>
      <c r="G48" s="53">
        <f>SUM(G15:G47)</f>
        <v>0</v>
      </c>
      <c r="H48" s="77">
        <f>F48-G48</f>
        <v>1850000</v>
      </c>
      <c r="L48" s="92">
        <f>SUM(L3:L11)</f>
        <v>500000</v>
      </c>
      <c r="M48" s="92">
        <f>SUM(M3:M13)</f>
        <v>1350000</v>
      </c>
      <c r="N48" s="92">
        <f>SUM(N3:N11)</f>
        <v>0</v>
      </c>
      <c r="O48" s="92">
        <f>SUM(O3:O11)</f>
        <v>0</v>
      </c>
      <c r="P48" s="92">
        <f>SUM(P3:P11)</f>
        <v>0</v>
      </c>
    </row>
    <row r="49" spans="16:16">
      <c r="P49" s="92">
        <f>SUM(L48:P48)</f>
        <v>1850000</v>
      </c>
    </row>
  </sheetData>
  <mergeCells count="2">
    <mergeCell ref="L1:P1"/>
    <mergeCell ref="C6:E6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B1:H50"/>
  <sheetViews>
    <sheetView workbookViewId="0">
      <selection activeCell="E23" sqref="E23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25.28515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</cols>
  <sheetData>
    <row r="1" spans="2:8">
      <c r="B1" s="19" t="s">
        <v>49</v>
      </c>
      <c r="C1" t="s">
        <v>3</v>
      </c>
      <c r="D1" s="26" t="s">
        <v>28</v>
      </c>
      <c r="G1" s="18" t="s">
        <v>60</v>
      </c>
    </row>
    <row r="2" spans="2:8">
      <c r="B2" s="19" t="s">
        <v>50</v>
      </c>
      <c r="C2" t="s">
        <v>3</v>
      </c>
      <c r="D2" s="17" t="s">
        <v>67</v>
      </c>
      <c r="G2" s="18" t="s">
        <v>53</v>
      </c>
    </row>
    <row r="3" spans="2:8">
      <c r="B3" s="19" t="s">
        <v>11</v>
      </c>
      <c r="C3" t="s">
        <v>3</v>
      </c>
      <c r="D3" s="23" t="s">
        <v>323</v>
      </c>
      <c r="G3" s="18" t="s">
        <v>61</v>
      </c>
    </row>
    <row r="4" spans="2:8">
      <c r="D4" t="s">
        <v>52</v>
      </c>
      <c r="G4" s="18" t="s">
        <v>327</v>
      </c>
    </row>
    <row r="5" spans="2:8">
      <c r="G5" s="18"/>
    </row>
    <row r="6" spans="2:8">
      <c r="G6" s="18" t="s">
        <v>320</v>
      </c>
    </row>
    <row r="7" spans="2:8">
      <c r="G7" s="24" t="s">
        <v>55</v>
      </c>
    </row>
    <row r="8" spans="2:8">
      <c r="G8" s="18"/>
    </row>
    <row r="11" spans="2:8">
      <c r="G11" s="18" t="s">
        <v>56</v>
      </c>
    </row>
    <row r="14" spans="2:8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8" ht="15" customHeight="1">
      <c r="B15" s="19">
        <v>41048</v>
      </c>
      <c r="D15" t="s">
        <v>324</v>
      </c>
      <c r="F15" s="21">
        <v>4450000</v>
      </c>
      <c r="G15" s="22"/>
      <c r="H15" s="21">
        <f>F15-G15</f>
        <v>4450000</v>
      </c>
    </row>
    <row r="16" spans="2:8" ht="15" customHeight="1">
      <c r="B16" s="19">
        <v>41396</v>
      </c>
      <c r="D16" t="s">
        <v>427</v>
      </c>
      <c r="G16" s="21">
        <v>4450000</v>
      </c>
      <c r="H16" s="21">
        <f t="shared" ref="H16:H23" si="0">H15+F16-G16</f>
        <v>0</v>
      </c>
    </row>
    <row r="17" spans="2:8" ht="15" customHeight="1">
      <c r="B17" s="19">
        <v>41397</v>
      </c>
      <c r="D17" t="s">
        <v>428</v>
      </c>
      <c r="F17" s="21">
        <v>4664800</v>
      </c>
      <c r="H17" s="21">
        <f t="shared" si="0"/>
        <v>4664800</v>
      </c>
    </row>
    <row r="18" spans="2:8" ht="15" customHeight="1">
      <c r="B18" s="19">
        <v>41513</v>
      </c>
      <c r="C18" t="s">
        <v>488</v>
      </c>
      <c r="F18" s="21">
        <v>44000</v>
      </c>
      <c r="H18" s="21">
        <f t="shared" si="0"/>
        <v>4708800</v>
      </c>
    </row>
    <row r="19" spans="2:8" ht="15" customHeight="1">
      <c r="B19" s="153">
        <v>41582</v>
      </c>
      <c r="C19" s="154" t="s">
        <v>489</v>
      </c>
      <c r="F19" s="21">
        <v>22600</v>
      </c>
      <c r="H19" s="21">
        <f t="shared" si="0"/>
        <v>4731400</v>
      </c>
    </row>
    <row r="20" spans="2:8" ht="15" customHeight="1">
      <c r="B20" s="153">
        <v>41610</v>
      </c>
      <c r="C20" s="154" t="s">
        <v>495</v>
      </c>
      <c r="F20" s="21">
        <v>26000</v>
      </c>
      <c r="H20" s="21">
        <f t="shared" si="0"/>
        <v>4757400</v>
      </c>
    </row>
    <row r="21" spans="2:8" ht="15" customHeight="1">
      <c r="B21" s="153">
        <v>41621</v>
      </c>
      <c r="C21" s="154" t="s">
        <v>493</v>
      </c>
      <c r="F21" s="21">
        <v>16600</v>
      </c>
      <c r="H21" s="21">
        <f t="shared" si="0"/>
        <v>4774000</v>
      </c>
    </row>
    <row r="22" spans="2:8" ht="15" customHeight="1">
      <c r="B22" s="153">
        <v>41702</v>
      </c>
      <c r="C22" s="154" t="s">
        <v>526</v>
      </c>
      <c r="F22" s="21">
        <v>84600</v>
      </c>
      <c r="H22" s="21">
        <f t="shared" si="0"/>
        <v>4858600</v>
      </c>
    </row>
    <row r="23" spans="2:8" ht="15" customHeight="1">
      <c r="B23" s="153">
        <v>42019</v>
      </c>
      <c r="D23" t="s">
        <v>600</v>
      </c>
      <c r="G23" s="21">
        <v>4858600</v>
      </c>
      <c r="H23" s="21">
        <f t="shared" si="0"/>
        <v>0</v>
      </c>
    </row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8" ht="15" customHeight="1">
      <c r="D50" s="76" t="s">
        <v>307</v>
      </c>
      <c r="E50" s="48"/>
      <c r="F50" s="160">
        <f>SUM(F15:F49)</f>
        <v>9308600</v>
      </c>
      <c r="G50" s="160">
        <f>SUM(G15:G49)</f>
        <v>9308600</v>
      </c>
      <c r="H50" s="77">
        <f>F50-G50</f>
        <v>0</v>
      </c>
    </row>
  </sheetData>
  <phoneticPr fontId="7" type="noConversion"/>
  <pageMargins left="0.75" right="0.75" top="1" bottom="1" header="0.5" footer="0.5"/>
  <headerFooter alignWithMargins="0"/>
  <legacyDrawing r:id="rId1"/>
  <oleObjects>
    <oleObject progId="CorelDRAW.Graphic.11" shapeId="43009" r:id="rId2"/>
    <oleObject progId="CorelDRAW.Graphic.11" shapeId="43010" r:id="rId3"/>
  </oleObjects>
</worksheet>
</file>

<file path=xl/worksheets/sheet104.xml><?xml version="1.0" encoding="utf-8"?>
<worksheet xmlns="http://schemas.openxmlformats.org/spreadsheetml/2006/main" xmlns:r="http://schemas.openxmlformats.org/officeDocument/2006/relationships">
  <dimension ref="A1:J43"/>
  <sheetViews>
    <sheetView topLeftCell="A15" workbookViewId="0">
      <selection activeCell="F42" sqref="F42:F43"/>
    </sheetView>
  </sheetViews>
  <sheetFormatPr defaultRowHeight="12.75"/>
  <cols>
    <col min="1" max="1" width="0.7109375" customWidth="1"/>
    <col min="2" max="2" width="11.28515625" style="19" customWidth="1"/>
    <col min="3" max="3" width="2.85546875" customWidth="1"/>
    <col min="4" max="4" width="39.5703125" customWidth="1"/>
    <col min="5" max="5" width="8.140625" customWidth="1"/>
    <col min="6" max="6" width="13.5703125" style="21" customWidth="1"/>
    <col min="7" max="7" width="14.42578125" style="21" customWidth="1"/>
    <col min="8" max="8" width="13.7109375" style="21" customWidth="1"/>
    <col min="9" max="9" width="5" customWidth="1"/>
    <col min="10" max="10" width="19" customWidth="1"/>
    <col min="15" max="15" width="9.28515625" customWidth="1"/>
  </cols>
  <sheetData>
    <row r="1" spans="2:8">
      <c r="B1" s="19" t="s">
        <v>49</v>
      </c>
      <c r="C1" t="s">
        <v>3</v>
      </c>
      <c r="D1" s="26" t="s">
        <v>343</v>
      </c>
      <c r="G1" s="18" t="s">
        <v>60</v>
      </c>
    </row>
    <row r="2" spans="2:8">
      <c r="B2" s="19" t="s">
        <v>50</v>
      </c>
      <c r="C2" t="s">
        <v>3</v>
      </c>
      <c r="D2" s="17" t="s">
        <v>69</v>
      </c>
      <c r="G2" s="18" t="s">
        <v>53</v>
      </c>
    </row>
    <row r="3" spans="2:8">
      <c r="B3" s="19" t="s">
        <v>11</v>
      </c>
      <c r="C3" t="s">
        <v>3</v>
      </c>
      <c r="D3" s="23" t="s">
        <v>323</v>
      </c>
      <c r="G3" s="18" t="s">
        <v>61</v>
      </c>
    </row>
    <row r="4" spans="2:8">
      <c r="D4" t="s">
        <v>52</v>
      </c>
      <c r="G4" s="18" t="s">
        <v>327</v>
      </c>
    </row>
    <row r="5" spans="2:8">
      <c r="G5" s="18"/>
    </row>
    <row r="6" spans="2:8">
      <c r="G6" s="89" t="s">
        <v>425</v>
      </c>
    </row>
    <row r="7" spans="2:8">
      <c r="G7" s="24" t="s">
        <v>55</v>
      </c>
    </row>
    <row r="8" spans="2:8">
      <c r="G8" s="18"/>
    </row>
    <row r="11" spans="2:8">
      <c r="G11" s="18" t="s">
        <v>56</v>
      </c>
    </row>
    <row r="14" spans="2:8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8" ht="15" customHeight="1">
      <c r="B15" s="19">
        <v>41089</v>
      </c>
      <c r="D15" t="s">
        <v>362</v>
      </c>
      <c r="F15" s="21">
        <v>13000000</v>
      </c>
      <c r="G15" s="22"/>
      <c r="H15" s="21">
        <f>F15-G15</f>
        <v>13000000</v>
      </c>
    </row>
    <row r="16" spans="2:8" ht="15" customHeight="1">
      <c r="B16" s="19">
        <v>41099</v>
      </c>
      <c r="C16">
        <v>1</v>
      </c>
      <c r="D16" t="s">
        <v>360</v>
      </c>
      <c r="E16">
        <v>1</v>
      </c>
      <c r="G16" s="137">
        <v>1100000</v>
      </c>
      <c r="H16" s="21">
        <f>H15+F16-G16</f>
        <v>11900000</v>
      </c>
    </row>
    <row r="17" spans="1:8" ht="15" customHeight="1">
      <c r="B17" s="19">
        <v>41124</v>
      </c>
      <c r="D17" t="s">
        <v>361</v>
      </c>
      <c r="F17" s="21">
        <v>13000000</v>
      </c>
      <c r="G17" s="137"/>
      <c r="H17" s="21">
        <f>H16+F17-G17</f>
        <v>24900000</v>
      </c>
    </row>
    <row r="18" spans="1:8" ht="15" customHeight="1">
      <c r="B18" s="136">
        <v>41162</v>
      </c>
      <c r="C18">
        <v>2</v>
      </c>
      <c r="D18" t="s">
        <v>422</v>
      </c>
      <c r="E18">
        <v>2</v>
      </c>
      <c r="G18" s="137">
        <v>2000000</v>
      </c>
      <c r="H18" s="21">
        <f t="shared" ref="H18:H29" si="0">H17+F18-G18</f>
        <v>22900000</v>
      </c>
    </row>
    <row r="19" spans="1:8" ht="15" customHeight="1">
      <c r="B19" s="136">
        <v>41192</v>
      </c>
      <c r="C19">
        <v>3</v>
      </c>
      <c r="D19" t="s">
        <v>422</v>
      </c>
      <c r="E19">
        <v>3</v>
      </c>
      <c r="G19" s="137">
        <v>2000000</v>
      </c>
      <c r="H19" s="21">
        <f t="shared" si="0"/>
        <v>20900000</v>
      </c>
    </row>
    <row r="20" spans="1:8" ht="15" customHeight="1">
      <c r="B20" s="136">
        <v>41222</v>
      </c>
      <c r="C20">
        <v>4</v>
      </c>
      <c r="D20" t="s">
        <v>422</v>
      </c>
      <c r="E20">
        <v>4</v>
      </c>
      <c r="G20" s="137">
        <v>2000000</v>
      </c>
      <c r="H20" s="21">
        <f t="shared" si="0"/>
        <v>18900000</v>
      </c>
    </row>
    <row r="21" spans="1:8" ht="15" customHeight="1">
      <c r="B21" s="136">
        <v>41253</v>
      </c>
      <c r="C21">
        <v>5</v>
      </c>
      <c r="D21" t="s">
        <v>422</v>
      </c>
      <c r="E21">
        <v>5</v>
      </c>
      <c r="G21" s="137">
        <v>2000000</v>
      </c>
      <c r="H21" s="21">
        <f t="shared" si="0"/>
        <v>16900000</v>
      </c>
    </row>
    <row r="22" spans="1:8" ht="15" customHeight="1">
      <c r="B22" s="136">
        <v>41284</v>
      </c>
      <c r="C22">
        <v>6</v>
      </c>
      <c r="D22" t="s">
        <v>422</v>
      </c>
      <c r="E22">
        <v>6</v>
      </c>
      <c r="G22" s="137">
        <v>2000000</v>
      </c>
      <c r="H22" s="21">
        <f t="shared" si="0"/>
        <v>14900000</v>
      </c>
    </row>
    <row r="23" spans="1:8" ht="15" customHeight="1">
      <c r="B23" s="136">
        <v>41317</v>
      </c>
      <c r="C23">
        <v>7</v>
      </c>
      <c r="D23" t="s">
        <v>422</v>
      </c>
      <c r="E23">
        <v>7</v>
      </c>
      <c r="G23" s="137">
        <v>2000000</v>
      </c>
      <c r="H23" s="21">
        <f t="shared" si="0"/>
        <v>12900000</v>
      </c>
    </row>
    <row r="24" spans="1:8" ht="15" customHeight="1">
      <c r="B24" s="136">
        <v>41344</v>
      </c>
      <c r="C24">
        <v>8</v>
      </c>
      <c r="D24" t="s">
        <v>422</v>
      </c>
      <c r="E24">
        <v>8</v>
      </c>
      <c r="G24" s="137">
        <v>2000000</v>
      </c>
      <c r="H24" s="21">
        <f t="shared" si="0"/>
        <v>10900000</v>
      </c>
    </row>
    <row r="25" spans="1:8" ht="15" customHeight="1">
      <c r="B25" s="136">
        <v>41374</v>
      </c>
      <c r="C25">
        <v>9</v>
      </c>
      <c r="D25" t="s">
        <v>422</v>
      </c>
      <c r="E25">
        <v>9</v>
      </c>
      <c r="G25" s="137">
        <v>2000000</v>
      </c>
      <c r="H25" s="21">
        <f t="shared" si="0"/>
        <v>8900000</v>
      </c>
    </row>
    <row r="26" spans="1:8" ht="15" customHeight="1">
      <c r="B26" s="136">
        <v>41404</v>
      </c>
      <c r="C26">
        <v>10</v>
      </c>
      <c r="D26" t="s">
        <v>422</v>
      </c>
      <c r="E26">
        <v>10</v>
      </c>
      <c r="G26" s="21">
        <v>2000000</v>
      </c>
      <c r="H26" s="21">
        <f t="shared" si="0"/>
        <v>6900000</v>
      </c>
    </row>
    <row r="27" spans="1:8" ht="15" customHeight="1">
      <c r="B27" s="136">
        <v>41436</v>
      </c>
      <c r="C27">
        <v>11</v>
      </c>
      <c r="D27" t="s">
        <v>422</v>
      </c>
      <c r="E27">
        <v>11</v>
      </c>
      <c r="G27" s="21">
        <v>2000000</v>
      </c>
      <c r="H27" s="21">
        <f t="shared" si="0"/>
        <v>4900000</v>
      </c>
    </row>
    <row r="28" spans="1:8" ht="15" customHeight="1">
      <c r="B28" s="136">
        <v>41470</v>
      </c>
      <c r="C28">
        <v>12</v>
      </c>
      <c r="D28" t="s">
        <v>422</v>
      </c>
      <c r="E28">
        <v>12</v>
      </c>
      <c r="G28" s="21">
        <v>2000000</v>
      </c>
      <c r="H28" s="21">
        <f t="shared" si="0"/>
        <v>2900000</v>
      </c>
    </row>
    <row r="29" spans="1:8" ht="15" customHeight="1">
      <c r="A29" s="138"/>
      <c r="B29" s="136">
        <v>41521</v>
      </c>
      <c r="C29" s="138">
        <v>13</v>
      </c>
      <c r="D29" t="s">
        <v>422</v>
      </c>
      <c r="E29" s="138">
        <v>13</v>
      </c>
      <c r="F29" s="139"/>
      <c r="G29" s="139">
        <v>2900000</v>
      </c>
      <c r="H29" s="139">
        <f t="shared" si="0"/>
        <v>0</v>
      </c>
    </row>
    <row r="30" spans="1:8" ht="15" customHeight="1"/>
    <row r="31" spans="1:8" ht="15" customHeight="1"/>
    <row r="32" spans="1:8" ht="15" customHeight="1">
      <c r="B32" s="98" t="s">
        <v>424</v>
      </c>
    </row>
    <row r="33" spans="4:10" ht="15" customHeight="1"/>
    <row r="37" spans="4:10" ht="13.5" thickBot="1"/>
    <row r="38" spans="4:10" ht="15" customHeight="1" thickBot="1">
      <c r="D38" s="76" t="s">
        <v>307</v>
      </c>
      <c r="E38" s="48"/>
      <c r="F38" s="133">
        <f>SUM(F15:F37)</f>
        <v>26000000</v>
      </c>
      <c r="G38" s="135">
        <f>SUM(G15:G37)</f>
        <v>26000000</v>
      </c>
      <c r="H38" s="134">
        <f>F38-G38</f>
        <v>0</v>
      </c>
      <c r="J38" s="86"/>
    </row>
    <row r="39" spans="4:10" ht="13.5" thickBot="1">
      <c r="D39" s="76"/>
      <c r="E39" s="48"/>
    </row>
    <row r="40" spans="4:10" ht="13.5" thickBot="1">
      <c r="D40" s="76" t="s">
        <v>364</v>
      </c>
      <c r="E40" s="48"/>
      <c r="F40" s="133">
        <f>F38-G38</f>
        <v>0</v>
      </c>
    </row>
    <row r="41" spans="4:10" ht="13.5" thickBot="1">
      <c r="D41" s="76"/>
      <c r="E41" s="48"/>
    </row>
    <row r="42" spans="4:10" ht="30" customHeight="1" thickBot="1">
      <c r="D42" s="690" t="s">
        <v>423</v>
      </c>
      <c r="E42" s="691"/>
      <c r="F42" s="692">
        <f>'[3]BAGI HASILSM &amp; MUDHORIB'!$E$8</f>
        <v>1384719.9993333332</v>
      </c>
    </row>
    <row r="43" spans="4:10" ht="48.75" customHeight="1" thickBot="1">
      <c r="D43" s="690" t="s">
        <v>443</v>
      </c>
      <c r="E43" s="691"/>
      <c r="F43" s="693"/>
    </row>
  </sheetData>
  <mergeCells count="3">
    <mergeCell ref="D42:E42"/>
    <mergeCell ref="D43:E43"/>
    <mergeCell ref="F42:F43"/>
  </mergeCells>
  <phoneticPr fontId="37" type="noConversion"/>
  <pageMargins left="0.7" right="0.7" top="0.75" bottom="0.75" header="0.3" footer="0.3"/>
  <pageSetup orientation="portrait" horizontalDpi="4294967293" r:id="rId1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S169"/>
  <sheetViews>
    <sheetView workbookViewId="0">
      <selection sqref="A1:XFD1048576"/>
    </sheetView>
  </sheetViews>
  <sheetFormatPr defaultRowHeight="12.75"/>
  <cols>
    <col min="1" max="1" width="6.42578125" style="152" customWidth="1"/>
    <col min="2" max="2" width="13.28515625" style="212" customWidth="1"/>
    <col min="3" max="3" width="29.7109375" style="152" customWidth="1"/>
    <col min="4" max="4" width="13.7109375" style="152" customWidth="1"/>
    <col min="5" max="5" width="30.85546875" style="152" customWidth="1"/>
    <col min="6" max="9" width="13.7109375" style="170" hidden="1" customWidth="1"/>
    <col min="10" max="11" width="13.7109375" style="170" customWidth="1"/>
    <col min="12" max="12" width="13.7109375" style="171" hidden="1" customWidth="1"/>
    <col min="13" max="13" width="21.5703125" style="152" customWidth="1"/>
    <col min="14" max="16" width="13.7109375" style="118" customWidth="1"/>
    <col min="17" max="17" width="18" style="152" bestFit="1" customWidth="1"/>
    <col min="18" max="18" width="27.7109375" style="152" customWidth="1"/>
    <col min="19" max="19" width="15.140625" style="152" customWidth="1"/>
    <col min="20" max="16384" width="9.140625" style="152"/>
  </cols>
  <sheetData>
    <row r="1" spans="1:19" ht="14.25">
      <c r="A1" s="215" t="s">
        <v>10</v>
      </c>
      <c r="B1" s="216"/>
      <c r="C1" s="217"/>
      <c r="D1" s="168"/>
      <c r="E1" s="168"/>
      <c r="F1" s="168"/>
      <c r="G1" s="168"/>
      <c r="H1" s="168"/>
      <c r="I1" s="168"/>
      <c r="J1" s="168"/>
      <c r="K1" s="168"/>
      <c r="L1" s="218"/>
      <c r="M1" s="168"/>
    </row>
    <row r="2" spans="1:19" ht="32.25" customHeight="1">
      <c r="A2" s="219"/>
      <c r="B2" s="220"/>
      <c r="C2" s="217"/>
      <c r="D2" s="168"/>
      <c r="E2" s="168"/>
      <c r="F2" s="168"/>
      <c r="G2" s="168"/>
      <c r="H2" s="168"/>
      <c r="I2" s="168"/>
      <c r="J2" s="168"/>
      <c r="K2" s="168"/>
      <c r="L2" s="218"/>
      <c r="M2" s="168"/>
    </row>
    <row r="3" spans="1:19">
      <c r="A3" s="168"/>
      <c r="B3" s="221"/>
      <c r="C3" s="168"/>
      <c r="D3" s="168"/>
      <c r="E3" s="168"/>
      <c r="F3" s="168"/>
      <c r="G3" s="168"/>
      <c r="H3" s="168"/>
      <c r="I3" s="168"/>
      <c r="J3" s="168"/>
      <c r="K3" s="168"/>
      <c r="L3" s="218"/>
      <c r="M3" s="168"/>
    </row>
    <row r="4" spans="1:19" ht="19.5">
      <c r="A4" s="172" t="s">
        <v>4</v>
      </c>
      <c r="B4" s="222"/>
      <c r="C4" s="172"/>
      <c r="D4" s="172"/>
      <c r="E4" s="172"/>
      <c r="F4" s="172"/>
      <c r="G4" s="172"/>
      <c r="H4" s="172"/>
      <c r="I4" s="172"/>
      <c r="J4" s="172"/>
      <c r="K4" s="172"/>
      <c r="L4" s="173"/>
      <c r="M4" s="172"/>
      <c r="N4" s="174"/>
      <c r="O4" s="174"/>
      <c r="P4" s="174"/>
    </row>
    <row r="5" spans="1:19" ht="20.100000000000001" customHeight="1" thickBot="1">
      <c r="A5" s="223"/>
      <c r="B5" s="224"/>
      <c r="C5" s="225"/>
      <c r="D5" s="168"/>
      <c r="E5" s="168"/>
      <c r="F5" s="168"/>
      <c r="G5" s="168"/>
      <c r="H5" s="168"/>
      <c r="I5" s="168"/>
      <c r="J5" s="168"/>
      <c r="K5" s="168"/>
      <c r="L5" s="218"/>
      <c r="M5" s="168"/>
    </row>
    <row r="6" spans="1:19" ht="20.25" customHeight="1" thickBot="1">
      <c r="A6" s="707" t="s">
        <v>9</v>
      </c>
      <c r="B6" s="708" t="s">
        <v>382</v>
      </c>
      <c r="C6" s="709" t="s">
        <v>2</v>
      </c>
      <c r="D6" s="707" t="s">
        <v>8</v>
      </c>
      <c r="E6" s="226"/>
      <c r="F6" s="710" t="s">
        <v>500</v>
      </c>
      <c r="G6" s="711"/>
      <c r="H6" s="711"/>
      <c r="I6" s="711"/>
      <c r="J6" s="711"/>
      <c r="K6" s="711"/>
      <c r="L6" s="712"/>
      <c r="M6" s="713" t="s">
        <v>504</v>
      </c>
      <c r="N6" s="696" t="s">
        <v>383</v>
      </c>
      <c r="O6" s="697"/>
      <c r="P6" s="175"/>
    </row>
    <row r="7" spans="1:19" ht="16.5" customHeight="1" thickBot="1">
      <c r="A7" s="707"/>
      <c r="B7" s="708"/>
      <c r="C7" s="709"/>
      <c r="D7" s="707"/>
      <c r="E7" s="227" t="s">
        <v>11</v>
      </c>
      <c r="F7" s="698" t="s">
        <v>5</v>
      </c>
      <c r="G7" s="698" t="s">
        <v>6</v>
      </c>
      <c r="H7" s="700" t="s">
        <v>7</v>
      </c>
      <c r="I7" s="701"/>
      <c r="J7" s="702"/>
      <c r="K7" s="702"/>
      <c r="L7" s="703" t="s">
        <v>1</v>
      </c>
      <c r="M7" s="714"/>
      <c r="N7" s="696"/>
      <c r="O7" s="697"/>
      <c r="P7" s="175"/>
      <c r="Q7" s="152" t="s">
        <v>384</v>
      </c>
      <c r="S7" s="176">
        <v>5193463.0762564298</v>
      </c>
    </row>
    <row r="8" spans="1:19" ht="13.5" customHeight="1" thickBot="1">
      <c r="A8" s="707"/>
      <c r="B8" s="708"/>
      <c r="C8" s="709"/>
      <c r="D8" s="707"/>
      <c r="E8" s="228"/>
      <c r="F8" s="699"/>
      <c r="G8" s="699"/>
      <c r="H8" s="177" t="s">
        <v>7</v>
      </c>
      <c r="I8" s="178" t="s">
        <v>385</v>
      </c>
      <c r="J8" s="178" t="s">
        <v>498</v>
      </c>
      <c r="K8" s="179" t="s">
        <v>497</v>
      </c>
      <c r="L8" s="704"/>
      <c r="M8" s="714"/>
      <c r="N8" s="180"/>
      <c r="O8" s="180"/>
      <c r="P8" s="180"/>
    </row>
    <row r="9" spans="1:19" ht="16.5" thickBot="1">
      <c r="A9" s="229"/>
      <c r="B9" s="230"/>
      <c r="C9" s="229">
        <v>2</v>
      </c>
      <c r="D9" s="231">
        <v>3</v>
      </c>
      <c r="E9" s="229">
        <v>4</v>
      </c>
      <c r="F9" s="181">
        <v>5</v>
      </c>
      <c r="G9" s="182">
        <v>6</v>
      </c>
      <c r="H9" s="181">
        <v>7</v>
      </c>
      <c r="I9" s="181"/>
      <c r="J9" s="181"/>
      <c r="K9" s="181"/>
      <c r="L9" s="183">
        <v>8</v>
      </c>
      <c r="M9" s="231">
        <v>9</v>
      </c>
      <c r="N9" s="184">
        <v>1817712.0766897504</v>
      </c>
      <c r="O9" s="184"/>
      <c r="P9" s="184"/>
      <c r="Q9" s="185" t="s">
        <v>386</v>
      </c>
      <c r="R9" s="186"/>
      <c r="S9" s="187">
        <v>5193463.0762564298</v>
      </c>
    </row>
    <row r="10" spans="1:19" ht="20.25" customHeight="1" thickBot="1">
      <c r="A10" s="232" t="s">
        <v>51</v>
      </c>
      <c r="B10" s="233">
        <v>40634</v>
      </c>
      <c r="C10" s="234" t="s">
        <v>14</v>
      </c>
      <c r="D10" s="166" t="s">
        <v>16</v>
      </c>
      <c r="E10" s="148" t="s">
        <v>19</v>
      </c>
      <c r="F10" s="148">
        <f>'0098'!L50</f>
        <v>500000</v>
      </c>
      <c r="G10" s="148">
        <f>'0098'!M50</f>
        <v>50000</v>
      </c>
      <c r="H10" s="148">
        <f>'0098'!N50</f>
        <v>0</v>
      </c>
      <c r="I10" s="149">
        <v>7938.3296995005076</v>
      </c>
      <c r="J10" s="149">
        <v>10525.945032806878</v>
      </c>
      <c r="K10" s="148">
        <v>10000</v>
      </c>
      <c r="L10" s="149">
        <f>(F10+G10+H10+I10+J10)-K10</f>
        <v>558464.2747323073</v>
      </c>
      <c r="M10" s="149"/>
      <c r="N10" s="121">
        <f>(L10/$L$163)*(12/12)*$N$9*100%</f>
        <v>39927.520244675761</v>
      </c>
      <c r="O10" s="121">
        <f>(L10/$L$165)*(12/12)*$Q$153*100%</f>
        <v>2985.3377422125495</v>
      </c>
      <c r="P10" s="121">
        <f>SUM(N10:O10)</f>
        <v>42912.85798688831</v>
      </c>
      <c r="Q10" s="188" t="s">
        <v>387</v>
      </c>
      <c r="R10" s="189"/>
      <c r="S10" s="190">
        <f>S9*35%</f>
        <v>1817712.0766897504</v>
      </c>
    </row>
    <row r="11" spans="1:19" ht="20.25" customHeight="1" thickBot="1">
      <c r="A11" s="232" t="s">
        <v>63</v>
      </c>
      <c r="B11" s="233">
        <v>40637</v>
      </c>
      <c r="C11" s="234" t="s">
        <v>15</v>
      </c>
      <c r="D11" s="166" t="s">
        <v>17</v>
      </c>
      <c r="E11" s="148" t="s">
        <v>20</v>
      </c>
      <c r="F11" s="148">
        <f>'0002'!L30</f>
        <v>500000</v>
      </c>
      <c r="G11" s="148">
        <f>'0002'!M30</f>
        <v>642500</v>
      </c>
      <c r="H11" s="148">
        <f>'0002'!N30</f>
        <v>0</v>
      </c>
      <c r="I11" s="149">
        <v>19051.991278801215</v>
      </c>
      <c r="J11" s="149">
        <v>25262.268078736506</v>
      </c>
      <c r="K11" s="148">
        <v>25000</v>
      </c>
      <c r="L11" s="149">
        <f t="shared" ref="L11:L57" si="0">(F11+G11+H11+I11+J11)-K11</f>
        <v>1161814.2593575376</v>
      </c>
      <c r="M11" s="148"/>
      <c r="N11" s="121">
        <f>(L11/$L$163)*(12/12)*$N$9*100%</f>
        <v>83064.153715627952</v>
      </c>
      <c r="O11" s="121">
        <f t="shared" ref="O11:O43" si="1">(L11/$L$165)*(12/12)*$Q$153*100%</f>
        <v>6210.6174285961497</v>
      </c>
      <c r="P11" s="121">
        <f t="shared" ref="P11:P49" si="2">SUM(N11:O11)</f>
        <v>89274.771144224098</v>
      </c>
      <c r="Q11" s="188" t="s">
        <v>388</v>
      </c>
      <c r="R11" s="189"/>
      <c r="S11" s="190">
        <f>S9*30%</f>
        <v>1558038.9228769289</v>
      </c>
    </row>
    <row r="12" spans="1:19" ht="20.25" customHeight="1" thickBot="1">
      <c r="A12" s="232" t="s">
        <v>64</v>
      </c>
      <c r="B12" s="233">
        <v>40637</v>
      </c>
      <c r="C12" s="234" t="s">
        <v>13</v>
      </c>
      <c r="D12" s="166" t="s">
        <v>18</v>
      </c>
      <c r="E12" s="148" t="s">
        <v>21</v>
      </c>
      <c r="F12" s="148">
        <f>'0003'!L50</f>
        <v>500000</v>
      </c>
      <c r="G12" s="148">
        <f>'0003'!M50</f>
        <v>1710000</v>
      </c>
      <c r="H12" s="148">
        <f>'0003'!N50</f>
        <v>470000</v>
      </c>
      <c r="I12" s="149">
        <v>53583.72547162843</v>
      </c>
      <c r="J12" s="149">
        <v>71050.128971446436</v>
      </c>
      <c r="K12" s="148">
        <v>71000</v>
      </c>
      <c r="L12" s="149">
        <f t="shared" si="0"/>
        <v>2733633.8544430747</v>
      </c>
      <c r="M12" s="148"/>
      <c r="N12" s="121">
        <f t="shared" ref="N12:N43" si="3">(L12/$L$163)*100%*(12/12)*$N$9</f>
        <v>195441.72474976166</v>
      </c>
      <c r="O12" s="121">
        <f t="shared" si="1"/>
        <v>14612.967540261481</v>
      </c>
      <c r="P12" s="121">
        <f t="shared" si="2"/>
        <v>210054.69229002314</v>
      </c>
      <c r="Q12" s="188" t="s">
        <v>389</v>
      </c>
      <c r="R12" s="189"/>
      <c r="S12" s="190">
        <f>S9*20%</f>
        <v>1038692.615251286</v>
      </c>
    </row>
    <row r="13" spans="1:19" ht="20.25" customHeight="1" thickBot="1">
      <c r="A13" s="232" t="s">
        <v>65</v>
      </c>
      <c r="B13" s="233">
        <v>40619</v>
      </c>
      <c r="C13" s="234" t="s">
        <v>22</v>
      </c>
      <c r="D13" s="166" t="s">
        <v>23</v>
      </c>
      <c r="E13" s="148" t="s">
        <v>24</v>
      </c>
      <c r="F13" s="148">
        <f>'0004'!L50</f>
        <v>500000</v>
      </c>
      <c r="G13" s="148">
        <f>'0004'!M50</f>
        <v>865000</v>
      </c>
      <c r="H13" s="148">
        <f>'0004'!N50</f>
        <v>10000</v>
      </c>
      <c r="I13" s="149">
        <v>52392.976016703353</v>
      </c>
      <c r="J13" s="149">
        <v>81661.004584279537</v>
      </c>
      <c r="K13" s="148">
        <v>81000</v>
      </c>
      <c r="L13" s="149">
        <f t="shared" si="0"/>
        <v>1428053.9806009829</v>
      </c>
      <c r="M13" s="148"/>
      <c r="N13" s="121">
        <f t="shared" si="3"/>
        <v>102099.01832711986</v>
      </c>
      <c r="O13" s="121">
        <f t="shared" si="1"/>
        <v>7633.8337814867455</v>
      </c>
      <c r="P13" s="121">
        <f t="shared" si="2"/>
        <v>109732.8521086066</v>
      </c>
      <c r="Q13" s="188" t="s">
        <v>390</v>
      </c>
      <c r="R13" s="189"/>
      <c r="S13" s="190">
        <f>S9*15%</f>
        <v>779019.46143846447</v>
      </c>
    </row>
    <row r="14" spans="1:19" ht="20.25" customHeight="1" thickBot="1">
      <c r="A14" s="232" t="s">
        <v>66</v>
      </c>
      <c r="B14" s="233">
        <v>40611</v>
      </c>
      <c r="C14" s="234" t="s">
        <v>25</v>
      </c>
      <c r="D14" s="166" t="s">
        <v>26</v>
      </c>
      <c r="E14" s="148" t="s">
        <v>27</v>
      </c>
      <c r="F14" s="148">
        <f>'0096'!$L$40</f>
        <v>500000</v>
      </c>
      <c r="G14" s="148">
        <f>'0096'!M40</f>
        <v>800000</v>
      </c>
      <c r="H14" s="148">
        <f>'0096'!N40</f>
        <v>0</v>
      </c>
      <c r="I14" s="149">
        <v>38103.98255760243</v>
      </c>
      <c r="J14" s="149">
        <v>79779.977840082967</v>
      </c>
      <c r="K14" s="148">
        <v>79000</v>
      </c>
      <c r="L14" s="149">
        <f t="shared" si="0"/>
        <v>1338883.9603976854</v>
      </c>
      <c r="M14" s="148"/>
      <c r="N14" s="121">
        <f t="shared" si="3"/>
        <v>95723.789063633114</v>
      </c>
      <c r="O14" s="121">
        <f t="shared" si="1"/>
        <v>7157.164746722864</v>
      </c>
      <c r="P14" s="121">
        <f t="shared" si="2"/>
        <v>102880.95381035598</v>
      </c>
      <c r="Q14" s="191" t="s">
        <v>391</v>
      </c>
      <c r="R14" s="192"/>
      <c r="S14" s="193">
        <f>SUM(S10:S13)</f>
        <v>5193463.0762564298</v>
      </c>
    </row>
    <row r="15" spans="1:19" ht="20.25" customHeight="1" thickBot="1">
      <c r="A15" s="232" t="s">
        <v>67</v>
      </c>
      <c r="B15" s="233">
        <v>40661</v>
      </c>
      <c r="C15" s="234" t="s">
        <v>28</v>
      </c>
      <c r="D15" s="166" t="s">
        <v>29</v>
      </c>
      <c r="E15" s="148" t="s">
        <v>24</v>
      </c>
      <c r="F15" s="148">
        <f>'0006'!$L$50</f>
        <v>500000</v>
      </c>
      <c r="G15" s="148">
        <f>'0006'!M50</f>
        <v>1920000</v>
      </c>
      <c r="H15" s="148">
        <f>'0006'!$N$50</f>
        <v>358599.99999993015</v>
      </c>
      <c r="I15" s="149">
        <v>414380.81031392649</v>
      </c>
      <c r="J15" s="149">
        <v>549454.330712519</v>
      </c>
      <c r="K15" s="148">
        <v>549000</v>
      </c>
      <c r="L15" s="149">
        <f t="shared" si="0"/>
        <v>3193435.1410263758</v>
      </c>
      <c r="M15" s="148"/>
      <c r="N15" s="121">
        <f t="shared" si="3"/>
        <v>228315.31400018011</v>
      </c>
      <c r="O15" s="121">
        <f t="shared" si="1"/>
        <v>17070.890449319515</v>
      </c>
      <c r="P15" s="121">
        <f t="shared" si="2"/>
        <v>245386.20444949961</v>
      </c>
      <c r="S15" s="194"/>
    </row>
    <row r="16" spans="1:19" ht="20.25" customHeight="1" thickBot="1">
      <c r="A16" s="232" t="s">
        <v>68</v>
      </c>
      <c r="B16" s="233">
        <v>40665</v>
      </c>
      <c r="C16" s="234" t="s">
        <v>30</v>
      </c>
      <c r="D16" s="166" t="s">
        <v>31</v>
      </c>
      <c r="E16" s="148" t="s">
        <v>111</v>
      </c>
      <c r="F16" s="148">
        <f>'0099'!$L$41</f>
        <v>0</v>
      </c>
      <c r="G16" s="148">
        <f>'0099'!$M$41</f>
        <v>0</v>
      </c>
      <c r="H16" s="148">
        <f>'0099'!$N$41</f>
        <v>0</v>
      </c>
      <c r="I16" s="149">
        <v>207190.40515696324</v>
      </c>
      <c r="J16" s="149">
        <v>294230.79314466612</v>
      </c>
      <c r="K16" s="148">
        <v>294000</v>
      </c>
      <c r="L16" s="149">
        <f t="shared" si="0"/>
        <v>207421.1983016294</v>
      </c>
      <c r="M16" s="148"/>
      <c r="N16" s="121">
        <f t="shared" si="3"/>
        <v>14829.621999246046</v>
      </c>
      <c r="O16" s="121">
        <f t="shared" si="1"/>
        <v>1108.7948859783805</v>
      </c>
      <c r="P16" s="121">
        <f t="shared" si="2"/>
        <v>15938.416885224427</v>
      </c>
    </row>
    <row r="17" spans="1:16" ht="20.25" customHeight="1" thickBot="1">
      <c r="A17" s="232" t="s">
        <v>69</v>
      </c>
      <c r="B17" s="233">
        <v>40621</v>
      </c>
      <c r="C17" s="234" t="s">
        <v>32</v>
      </c>
      <c r="D17" s="166" t="s">
        <v>33</v>
      </c>
      <c r="E17" s="148" t="s">
        <v>34</v>
      </c>
      <c r="F17" s="148">
        <f>'0008'!$L$50</f>
        <v>500000</v>
      </c>
      <c r="G17" s="148">
        <f>'0008'!$M$50</f>
        <v>895000</v>
      </c>
      <c r="H17" s="148">
        <f>'0008'!$N$50</f>
        <v>110000</v>
      </c>
      <c r="I17" s="149">
        <v>61918.971656103953</v>
      </c>
      <c r="J17" s="149">
        <v>94292.138623647799</v>
      </c>
      <c r="K17" s="148">
        <v>94000</v>
      </c>
      <c r="L17" s="149">
        <f t="shared" si="0"/>
        <v>1567211.1102797517</v>
      </c>
      <c r="M17" s="148"/>
      <c r="N17" s="121">
        <f t="shared" si="3"/>
        <v>112048.08644809018</v>
      </c>
      <c r="O17" s="121">
        <f t="shared" si="1"/>
        <v>8377.7149035641178</v>
      </c>
      <c r="P17" s="121">
        <f t="shared" si="2"/>
        <v>120425.8013516543</v>
      </c>
    </row>
    <row r="18" spans="1:16" ht="20.25" customHeight="1" thickBot="1">
      <c r="A18" s="232" t="s">
        <v>70</v>
      </c>
      <c r="B18" s="233">
        <v>40672</v>
      </c>
      <c r="C18" s="234" t="s">
        <v>35</v>
      </c>
      <c r="D18" s="166" t="s">
        <v>36</v>
      </c>
      <c r="E18" s="148" t="s">
        <v>113</v>
      </c>
      <c r="F18" s="148">
        <f>'0009'!$L$29</f>
        <v>500000</v>
      </c>
      <c r="G18" s="148">
        <f>'0009'!$M$29</f>
        <v>722500</v>
      </c>
      <c r="H18" s="148">
        <f>'0009'!$N$29</f>
        <v>0</v>
      </c>
      <c r="I18" s="149">
        <v>17464.325338901119</v>
      </c>
      <c r="J18" s="149">
        <v>23157.079072175129</v>
      </c>
      <c r="K18" s="148">
        <v>23000</v>
      </c>
      <c r="L18" s="149">
        <f t="shared" si="0"/>
        <v>1240121.4044110761</v>
      </c>
      <c r="M18" s="148"/>
      <c r="N18" s="121">
        <f t="shared" si="3"/>
        <v>88662.739445980391</v>
      </c>
      <c r="O18" s="121">
        <f t="shared" si="1"/>
        <v>6629.2176617539417</v>
      </c>
      <c r="P18" s="121">
        <f t="shared" si="2"/>
        <v>95291.957107734328</v>
      </c>
    </row>
    <row r="19" spans="1:16" ht="20.25" customHeight="1" thickBot="1">
      <c r="A19" s="232" t="s">
        <v>71</v>
      </c>
      <c r="B19" s="233">
        <v>40605</v>
      </c>
      <c r="C19" s="234" t="s">
        <v>37</v>
      </c>
      <c r="D19" s="166" t="s">
        <v>38</v>
      </c>
      <c r="E19" s="148" t="s">
        <v>39</v>
      </c>
      <c r="F19" s="148">
        <f>'0101'!$L$50</f>
        <v>500000</v>
      </c>
      <c r="G19" s="148">
        <f>'0101'!$M$50</f>
        <v>550000</v>
      </c>
      <c r="H19" s="148">
        <f>'0101'!$N$50</f>
        <v>0</v>
      </c>
      <c r="I19" s="149">
        <v>50011.477106853199</v>
      </c>
      <c r="J19" s="149">
        <v>95568.895389293277</v>
      </c>
      <c r="K19" s="148">
        <v>95000</v>
      </c>
      <c r="L19" s="149">
        <f t="shared" si="0"/>
        <v>1100580.3724961465</v>
      </c>
      <c r="M19" s="148"/>
      <c r="N19" s="121">
        <f t="shared" si="3"/>
        <v>78686.224154260184</v>
      </c>
      <c r="O19" s="121">
        <f t="shared" si="1"/>
        <v>5883.2843442420817</v>
      </c>
      <c r="P19" s="121">
        <f t="shared" si="2"/>
        <v>84569.50849850227</v>
      </c>
    </row>
    <row r="20" spans="1:16" ht="20.25" customHeight="1" thickBot="1">
      <c r="A20" s="232" t="s">
        <v>72</v>
      </c>
      <c r="B20" s="233">
        <v>40656</v>
      </c>
      <c r="C20" s="234" t="s">
        <v>40</v>
      </c>
      <c r="D20" s="166" t="s">
        <v>41</v>
      </c>
      <c r="E20" s="148" t="s">
        <v>117</v>
      </c>
      <c r="F20" s="148">
        <f>'0082'!$L$53</f>
        <v>500000</v>
      </c>
      <c r="G20" s="148">
        <f>'0082'!$M$53</f>
        <v>1200000</v>
      </c>
      <c r="H20" s="148">
        <f>'0082'!$N$53</f>
        <v>2515000</v>
      </c>
      <c r="I20" s="149">
        <v>38103.98255760243</v>
      </c>
      <c r="J20" s="149">
        <v>50524.536157473012</v>
      </c>
      <c r="K20" s="148">
        <v>50000</v>
      </c>
      <c r="L20" s="149">
        <f t="shared" si="0"/>
        <v>4253628.5187150752</v>
      </c>
      <c r="M20" s="148"/>
      <c r="N20" s="121">
        <f t="shared" si="3"/>
        <v>304114.06150507199</v>
      </c>
      <c r="O20" s="121">
        <f t="shared" si="1"/>
        <v>22738.28127029011</v>
      </c>
      <c r="P20" s="121">
        <f t="shared" si="2"/>
        <v>326852.34277536208</v>
      </c>
    </row>
    <row r="21" spans="1:16" ht="20.25" customHeight="1" thickBot="1">
      <c r="A21" s="232" t="s">
        <v>73</v>
      </c>
      <c r="B21" s="233">
        <v>40611</v>
      </c>
      <c r="C21" s="234" t="s">
        <v>42</v>
      </c>
      <c r="D21" s="166" t="s">
        <v>43</v>
      </c>
      <c r="E21" s="148" t="s">
        <v>44</v>
      </c>
      <c r="F21" s="148">
        <f>'0012'!$L$31</f>
        <v>500000</v>
      </c>
      <c r="G21" s="148">
        <f>'0012'!$M$31</f>
        <v>270000</v>
      </c>
      <c r="H21" s="148">
        <f>'0012'!$N$31</f>
        <v>0</v>
      </c>
      <c r="I21" s="149">
        <v>17464.325338901119</v>
      </c>
      <c r="J21" s="149">
        <v>23157.079072175129</v>
      </c>
      <c r="K21" s="148">
        <v>23000</v>
      </c>
      <c r="L21" s="149">
        <f t="shared" si="0"/>
        <v>787621.40441107622</v>
      </c>
      <c r="M21" s="148"/>
      <c r="N21" s="121">
        <f t="shared" si="3"/>
        <v>56311.157208466524</v>
      </c>
      <c r="O21" s="121">
        <f t="shared" si="1"/>
        <v>4210.3246555742753</v>
      </c>
      <c r="P21" s="121">
        <f t="shared" si="2"/>
        <v>60521.481864040798</v>
      </c>
    </row>
    <row r="22" spans="1:16" ht="20.25" customHeight="1" thickBot="1">
      <c r="A22" s="232" t="s">
        <v>74</v>
      </c>
      <c r="B22" s="233">
        <v>40663</v>
      </c>
      <c r="C22" s="234" t="s">
        <v>45</v>
      </c>
      <c r="D22" s="166" t="s">
        <v>46</v>
      </c>
      <c r="E22" s="148" t="s">
        <v>120</v>
      </c>
      <c r="F22" s="148">
        <f>'0013'!$L$51</f>
        <v>500000</v>
      </c>
      <c r="G22" s="148">
        <f>'0013'!$M$51</f>
        <v>1700000</v>
      </c>
      <c r="H22" s="148">
        <f>'0013'!$N$51</f>
        <v>672200</v>
      </c>
      <c r="I22" s="149">
        <v>57155.973836403653</v>
      </c>
      <c r="J22" s="149">
        <v>100166.33897171782</v>
      </c>
      <c r="K22" s="148">
        <v>100000</v>
      </c>
      <c r="L22" s="149">
        <f t="shared" si="0"/>
        <v>2929522.3128081216</v>
      </c>
      <c r="M22" s="148"/>
      <c r="N22" s="121">
        <f t="shared" si="3"/>
        <v>209446.81109269345</v>
      </c>
      <c r="O22" s="121">
        <f t="shared" si="1"/>
        <v>15660.112782096903</v>
      </c>
      <c r="P22" s="121">
        <f t="shared" si="2"/>
        <v>225106.92387479034</v>
      </c>
    </row>
    <row r="23" spans="1:16" ht="20.25" customHeight="1" thickBot="1">
      <c r="A23" s="232" t="s">
        <v>75</v>
      </c>
      <c r="B23" s="233">
        <v>40658</v>
      </c>
      <c r="C23" s="234" t="s">
        <v>47</v>
      </c>
      <c r="D23" s="166" t="s">
        <v>48</v>
      </c>
      <c r="E23" s="148" t="s">
        <v>123</v>
      </c>
      <c r="F23" s="148">
        <f>'0014'!$L$30</f>
        <v>200000</v>
      </c>
      <c r="G23" s="148">
        <f>'0014'!$M$30</f>
        <v>20000</v>
      </c>
      <c r="H23" s="148">
        <f>'0014'!$N$30</f>
        <v>0</v>
      </c>
      <c r="I23" s="149">
        <v>17464.325338901119</v>
      </c>
      <c r="J23" s="149">
        <v>23157.079072175129</v>
      </c>
      <c r="K23" s="148">
        <v>23000</v>
      </c>
      <c r="L23" s="149">
        <f t="shared" si="0"/>
        <v>237621.40441107625</v>
      </c>
      <c r="M23" s="148"/>
      <c r="N23" s="121">
        <f t="shared" si="3"/>
        <v>16988.792057897183</v>
      </c>
      <c r="O23" s="121">
        <f t="shared" si="1"/>
        <v>1270.2337088365584</v>
      </c>
      <c r="P23" s="121">
        <f t="shared" si="2"/>
        <v>18259.025766733743</v>
      </c>
    </row>
    <row r="24" spans="1:16" ht="20.25" customHeight="1" thickBot="1">
      <c r="A24" s="232" t="s">
        <v>76</v>
      </c>
      <c r="B24" s="233">
        <v>40682</v>
      </c>
      <c r="C24" s="234" t="s">
        <v>82</v>
      </c>
      <c r="D24" s="166" t="s">
        <v>83</v>
      </c>
      <c r="E24" s="148" t="s">
        <v>84</v>
      </c>
      <c r="F24" s="148">
        <f>'0015'!$L$102</f>
        <v>500000</v>
      </c>
      <c r="G24" s="148">
        <f>'0015'!$M$102</f>
        <v>2980000</v>
      </c>
      <c r="H24" s="148">
        <f>'0015'!$N$102</f>
        <v>1693000</v>
      </c>
      <c r="I24" s="149">
        <v>43422.663456267779</v>
      </c>
      <c r="J24" s="149">
        <v>120573.63708600706</v>
      </c>
      <c r="K24" s="148">
        <v>120000</v>
      </c>
      <c r="L24" s="149">
        <f t="shared" si="0"/>
        <v>5216996.3005422745</v>
      </c>
      <c r="M24" s="148"/>
      <c r="N24" s="121">
        <f t="shared" si="3"/>
        <v>372990.24276198685</v>
      </c>
      <c r="O24" s="121">
        <f t="shared" si="1"/>
        <v>27888.079258888189</v>
      </c>
      <c r="P24" s="121">
        <f t="shared" si="2"/>
        <v>400878.32202087506</v>
      </c>
    </row>
    <row r="25" spans="1:16" ht="20.25" customHeight="1" thickBot="1">
      <c r="A25" s="232" t="s">
        <v>77</v>
      </c>
      <c r="B25" s="233">
        <v>40663</v>
      </c>
      <c r="C25" s="234" t="s">
        <v>85</v>
      </c>
      <c r="D25" s="166" t="s">
        <v>86</v>
      </c>
      <c r="E25" s="148" t="s">
        <v>84</v>
      </c>
      <c r="F25" s="148">
        <f>'0016'!$L$30</f>
        <v>200000</v>
      </c>
      <c r="G25" s="148">
        <f>'0016'!$M$30</f>
        <v>120000</v>
      </c>
      <c r="H25" s="148">
        <f>'0016'!$N$30</f>
        <v>0</v>
      </c>
      <c r="I25" s="149">
        <v>25402.655038401623</v>
      </c>
      <c r="J25" s="149">
        <v>33683.024104982003</v>
      </c>
      <c r="K25" s="148">
        <v>33000</v>
      </c>
      <c r="L25" s="149">
        <f t="shared" si="0"/>
        <v>346085.67914338363</v>
      </c>
      <c r="M25" s="148"/>
      <c r="N25" s="121">
        <f t="shared" si="3"/>
        <v>24743.468088470752</v>
      </c>
      <c r="O25" s="121">
        <f t="shared" si="1"/>
        <v>1850.0424946273395</v>
      </c>
      <c r="P25" s="121">
        <f t="shared" si="2"/>
        <v>26593.51058309809</v>
      </c>
    </row>
    <row r="26" spans="1:16" ht="20.25" customHeight="1" thickBot="1">
      <c r="A26" s="232" t="s">
        <v>78</v>
      </c>
      <c r="B26" s="233">
        <v>40634</v>
      </c>
      <c r="C26" s="234" t="s">
        <v>90</v>
      </c>
      <c r="D26" s="166" t="s">
        <v>91</v>
      </c>
      <c r="E26" s="148" t="s">
        <v>128</v>
      </c>
      <c r="F26" s="148">
        <f>'0017'!$L$51</f>
        <v>500000</v>
      </c>
      <c r="G26" s="148">
        <f>'0017'!$M$51</f>
        <v>810000</v>
      </c>
      <c r="H26" s="148">
        <f>'0017'!$N$51</f>
        <v>160000</v>
      </c>
      <c r="I26" s="149">
        <v>108755.11688315697</v>
      </c>
      <c r="J26" s="149">
        <v>758569.72228426323</v>
      </c>
      <c r="K26" s="148">
        <v>758000</v>
      </c>
      <c r="L26" s="149">
        <f t="shared" si="0"/>
        <v>1579324.8391674203</v>
      </c>
      <c r="M26" s="148"/>
      <c r="N26" s="121">
        <f t="shared" si="3"/>
        <v>112914.16003110091</v>
      </c>
      <c r="O26" s="121">
        <f t="shared" si="1"/>
        <v>8442.4702938075152</v>
      </c>
      <c r="P26" s="121">
        <f t="shared" si="2"/>
        <v>121356.63032490843</v>
      </c>
    </row>
    <row r="27" spans="1:16" ht="20.25" customHeight="1" thickBot="1">
      <c r="A27" s="232" t="s">
        <v>79</v>
      </c>
      <c r="B27" s="233">
        <v>40634</v>
      </c>
      <c r="C27" s="234" t="s">
        <v>92</v>
      </c>
      <c r="D27" s="166" t="s">
        <v>95</v>
      </c>
      <c r="E27" s="148" t="s">
        <v>96</v>
      </c>
      <c r="F27" s="148">
        <f>'0102'!$L$50</f>
        <v>500000</v>
      </c>
      <c r="G27" s="148">
        <f>'0102'!$M$50</f>
        <v>650000</v>
      </c>
      <c r="H27" s="148">
        <f>'0102'!$N$50</f>
        <v>0</v>
      </c>
      <c r="I27" s="149">
        <v>25402.655038401623</v>
      </c>
      <c r="J27" s="149">
        <v>33683.024104982003</v>
      </c>
      <c r="K27" s="148">
        <v>33000</v>
      </c>
      <c r="L27" s="149">
        <f t="shared" si="0"/>
        <v>1176085.6791433836</v>
      </c>
      <c r="M27" s="148"/>
      <c r="N27" s="121">
        <f t="shared" si="3"/>
        <v>84084.491861148126</v>
      </c>
      <c r="O27" s="121">
        <f t="shared" si="1"/>
        <v>6286.9070142497121</v>
      </c>
      <c r="P27" s="121">
        <f t="shared" si="2"/>
        <v>90371.398875397834</v>
      </c>
    </row>
    <row r="28" spans="1:16" ht="20.25" customHeight="1" thickBot="1">
      <c r="A28" s="232" t="s">
        <v>80</v>
      </c>
      <c r="B28" s="233">
        <v>40634</v>
      </c>
      <c r="C28" s="234" t="s">
        <v>93</v>
      </c>
      <c r="D28" s="166" t="s">
        <v>97</v>
      </c>
      <c r="E28" s="148" t="s">
        <v>96</v>
      </c>
      <c r="F28" s="148">
        <f>'0097'!$L$39</f>
        <v>500000</v>
      </c>
      <c r="G28" s="148">
        <f>'0097'!$M$39</f>
        <v>1150000</v>
      </c>
      <c r="H28" s="148">
        <f>'0097'!$N$39</f>
        <v>0</v>
      </c>
      <c r="I28" s="149">
        <v>33340.98473790213</v>
      </c>
      <c r="J28" s="149">
        <v>63712.596926195525</v>
      </c>
      <c r="K28" s="148">
        <v>63000</v>
      </c>
      <c r="L28" s="149">
        <f t="shared" si="0"/>
        <v>1684053.5816640977</v>
      </c>
      <c r="M28" s="148"/>
      <c r="N28" s="121">
        <f t="shared" si="3"/>
        <v>120401.76340239965</v>
      </c>
      <c r="O28" s="121">
        <f t="shared" si="1"/>
        <v>9002.3103441306193</v>
      </c>
      <c r="P28" s="121">
        <f t="shared" si="2"/>
        <v>129404.07374653027</v>
      </c>
    </row>
    <row r="29" spans="1:16" ht="20.25" customHeight="1" thickBot="1">
      <c r="A29" s="232" t="s">
        <v>81</v>
      </c>
      <c r="B29" s="233">
        <v>40634</v>
      </c>
      <c r="C29" s="234" t="s">
        <v>94</v>
      </c>
      <c r="D29" s="166" t="s">
        <v>98</v>
      </c>
      <c r="E29" s="148" t="s">
        <v>129</v>
      </c>
      <c r="F29" s="148">
        <f>'0020'!$L$78</f>
        <v>500000</v>
      </c>
      <c r="G29" s="148">
        <f>'0020'!$M$78</f>
        <v>3585000</v>
      </c>
      <c r="H29" s="148">
        <f>'0020'!$N$78</f>
        <v>252000</v>
      </c>
      <c r="I29" s="149">
        <v>74223.382690329745</v>
      </c>
      <c r="J29" s="149">
        <v>127673.02773935428</v>
      </c>
      <c r="K29" s="148">
        <v>127000</v>
      </c>
      <c r="L29" s="149">
        <f t="shared" si="0"/>
        <v>4411896.4104296844</v>
      </c>
      <c r="M29" s="148"/>
      <c r="N29" s="121">
        <f t="shared" si="3"/>
        <v>315429.45755891316</v>
      </c>
      <c r="O29" s="121">
        <f t="shared" si="1"/>
        <v>23584.321262270812</v>
      </c>
      <c r="P29" s="121">
        <f t="shared" si="2"/>
        <v>339013.77882118395</v>
      </c>
    </row>
    <row r="30" spans="1:16" ht="20.25" customHeight="1" thickBot="1">
      <c r="A30" s="232" t="s">
        <v>131</v>
      </c>
      <c r="B30" s="233">
        <v>40698</v>
      </c>
      <c r="C30" s="234" t="s">
        <v>251</v>
      </c>
      <c r="D30" s="166" t="s">
        <v>254</v>
      </c>
      <c r="E30" s="148" t="s">
        <v>257</v>
      </c>
      <c r="F30" s="148">
        <f>'0021'!$L$30</f>
        <v>200000</v>
      </c>
      <c r="G30" s="148">
        <f>'0021'!$M$30</f>
        <v>40000</v>
      </c>
      <c r="H30" s="148">
        <f>'0021'!$N$30</f>
        <v>0</v>
      </c>
      <c r="I30" s="149">
        <v>19051.991278801215</v>
      </c>
      <c r="J30" s="149">
        <v>25262.268078736506</v>
      </c>
      <c r="K30" s="148">
        <v>25000</v>
      </c>
      <c r="L30" s="149">
        <f t="shared" si="0"/>
        <v>259314.25935753773</v>
      </c>
      <c r="M30" s="148"/>
      <c r="N30" s="121">
        <f t="shared" si="3"/>
        <v>18539.727264011897</v>
      </c>
      <c r="O30" s="121">
        <f t="shared" si="1"/>
        <v>1386.1954659947146</v>
      </c>
      <c r="P30" s="121">
        <f t="shared" si="2"/>
        <v>19925.922730006612</v>
      </c>
    </row>
    <row r="31" spans="1:16" ht="20.25" customHeight="1" thickBot="1">
      <c r="A31" s="232" t="s">
        <v>132</v>
      </c>
      <c r="B31" s="233">
        <v>40698</v>
      </c>
      <c r="C31" s="234" t="s">
        <v>252</v>
      </c>
      <c r="D31" s="166" t="s">
        <v>255</v>
      </c>
      <c r="E31" s="148" t="s">
        <v>19</v>
      </c>
      <c r="F31" s="148">
        <f>'0094'!$L$43</f>
        <v>500000</v>
      </c>
      <c r="G31" s="148">
        <f>'0094'!$M$43</f>
        <v>250000</v>
      </c>
      <c r="H31" s="148">
        <f>'0094'!$N$43</f>
        <v>0</v>
      </c>
      <c r="I31" s="149">
        <v>15876.659399001015</v>
      </c>
      <c r="J31" s="149">
        <v>21051.890065613756</v>
      </c>
      <c r="K31" s="148">
        <v>21000</v>
      </c>
      <c r="L31" s="149">
        <f t="shared" si="0"/>
        <v>765928.54946461483</v>
      </c>
      <c r="M31" s="148"/>
      <c r="N31" s="121">
        <f t="shared" si="3"/>
        <v>54760.222002351817</v>
      </c>
      <c r="O31" s="121">
        <f t="shared" si="1"/>
        <v>4094.3628984161196</v>
      </c>
      <c r="P31" s="121">
        <f t="shared" si="2"/>
        <v>58854.584900767935</v>
      </c>
    </row>
    <row r="32" spans="1:16" ht="20.25" customHeight="1" thickBot="1">
      <c r="A32" s="232" t="s">
        <v>133</v>
      </c>
      <c r="B32" s="233">
        <v>40698</v>
      </c>
      <c r="C32" s="234" t="s">
        <v>253</v>
      </c>
      <c r="D32" s="166" t="s">
        <v>256</v>
      </c>
      <c r="E32" s="148" t="s">
        <v>258</v>
      </c>
      <c r="F32" s="148">
        <f>'0023'!$L$67</f>
        <v>500000</v>
      </c>
      <c r="G32" s="148">
        <f>'0023'!$M$67</f>
        <v>840000</v>
      </c>
      <c r="H32" s="148">
        <f>'0023'!$N$67</f>
        <v>191750</v>
      </c>
      <c r="I32" s="195">
        <f>77974.2434733437-50000</f>
        <v>27974.243473343697</v>
      </c>
      <c r="J32" s="149">
        <v>108218.2429623762</v>
      </c>
      <c r="K32" s="148">
        <v>108000</v>
      </c>
      <c r="L32" s="149">
        <f t="shared" si="0"/>
        <v>1559942.48643572</v>
      </c>
      <c r="M32" s="148"/>
      <c r="N32" s="121">
        <f t="shared" si="3"/>
        <v>111528.4146645681</v>
      </c>
      <c r="O32" s="121">
        <f t="shared" si="1"/>
        <v>8338.859603274881</v>
      </c>
      <c r="P32" s="121">
        <f t="shared" si="2"/>
        <v>119867.27426784298</v>
      </c>
    </row>
    <row r="33" spans="1:17" ht="20.25" customHeight="1" thickBot="1">
      <c r="A33" s="232" t="s">
        <v>134</v>
      </c>
      <c r="B33" s="233">
        <v>40709</v>
      </c>
      <c r="C33" s="234" t="s">
        <v>263</v>
      </c>
      <c r="D33" s="166" t="s">
        <v>264</v>
      </c>
      <c r="E33" s="148" t="s">
        <v>265</v>
      </c>
      <c r="F33" s="148">
        <f>'0092'!$L$50</f>
        <v>500000</v>
      </c>
      <c r="G33" s="148">
        <f>'0092'!$M$50</f>
        <v>600000</v>
      </c>
      <c r="H33" s="148">
        <f>'0092'!$N$50</f>
        <v>0</v>
      </c>
      <c r="I33" s="149">
        <v>23814.989098501523</v>
      </c>
      <c r="J33" s="149">
        <v>31577.835098420634</v>
      </c>
      <c r="K33" s="148">
        <v>31000</v>
      </c>
      <c r="L33" s="149">
        <f t="shared" si="0"/>
        <v>1124392.8241969224</v>
      </c>
      <c r="M33" s="148"/>
      <c r="N33" s="121">
        <f t="shared" si="3"/>
        <v>80388.700374093285</v>
      </c>
      <c r="O33" s="121">
        <f t="shared" si="1"/>
        <v>6010.5766599967728</v>
      </c>
      <c r="P33" s="121">
        <f t="shared" si="2"/>
        <v>86399.277034090061</v>
      </c>
    </row>
    <row r="34" spans="1:17" ht="20.25" customHeight="1" thickBot="1">
      <c r="A34" s="232" t="s">
        <v>135</v>
      </c>
      <c r="B34" s="233">
        <v>40709</v>
      </c>
      <c r="C34" s="234" t="s">
        <v>266</v>
      </c>
      <c r="D34" s="166" t="s">
        <v>267</v>
      </c>
      <c r="E34" s="148" t="s">
        <v>265</v>
      </c>
      <c r="F34" s="148">
        <f>'0091'!$L$50</f>
        <v>500000</v>
      </c>
      <c r="G34" s="148">
        <f>'0091'!$M$50</f>
        <v>600000</v>
      </c>
      <c r="H34" s="148">
        <f>'0091'!$N$50</f>
        <v>0</v>
      </c>
      <c r="I34" s="149">
        <v>23814.989098501523</v>
      </c>
      <c r="J34" s="149">
        <v>31577.835098420634</v>
      </c>
      <c r="K34" s="148">
        <v>31000</v>
      </c>
      <c r="L34" s="149">
        <f t="shared" si="0"/>
        <v>1124392.8241969224</v>
      </c>
      <c r="M34" s="148"/>
      <c r="N34" s="121">
        <f t="shared" si="3"/>
        <v>80388.700374093285</v>
      </c>
      <c r="O34" s="121">
        <f t="shared" si="1"/>
        <v>6010.5766599967728</v>
      </c>
      <c r="P34" s="121">
        <f t="shared" si="2"/>
        <v>86399.277034090061</v>
      </c>
    </row>
    <row r="35" spans="1:17" ht="20.25" customHeight="1" thickBot="1">
      <c r="A35" s="232" t="s">
        <v>136</v>
      </c>
      <c r="B35" s="233">
        <v>40709</v>
      </c>
      <c r="C35" s="234" t="s">
        <v>268</v>
      </c>
      <c r="D35" s="166" t="s">
        <v>269</v>
      </c>
      <c r="E35" s="148" t="s">
        <v>265</v>
      </c>
      <c r="F35" s="148">
        <f>'0026'!$L$55</f>
        <v>500000</v>
      </c>
      <c r="G35" s="148">
        <f>'0026'!$M$55</f>
        <v>0</v>
      </c>
      <c r="H35" s="148">
        <f>'0026'!$N$55</f>
        <v>0</v>
      </c>
      <c r="I35" s="149">
        <v>23814.989098501523</v>
      </c>
      <c r="J35" s="149">
        <v>31577.835098420634</v>
      </c>
      <c r="K35" s="148">
        <v>31000</v>
      </c>
      <c r="L35" s="149">
        <f t="shared" si="0"/>
        <v>524392.82419692213</v>
      </c>
      <c r="M35" s="148"/>
      <c r="N35" s="121">
        <f t="shared" si="3"/>
        <v>37491.574755290349</v>
      </c>
      <c r="O35" s="121">
        <f t="shared" si="1"/>
        <v>2803.2047181010803</v>
      </c>
      <c r="P35" s="121">
        <f t="shared" si="2"/>
        <v>40294.779473391427</v>
      </c>
    </row>
    <row r="36" spans="1:17" ht="20.25" customHeight="1" thickBot="1">
      <c r="A36" s="232" t="s">
        <v>137</v>
      </c>
      <c r="B36" s="233">
        <v>40709</v>
      </c>
      <c r="C36" s="234" t="s">
        <v>270</v>
      </c>
      <c r="D36" s="166" t="s">
        <v>271</v>
      </c>
      <c r="E36" s="148" t="s">
        <v>265</v>
      </c>
      <c r="F36" s="148">
        <f>'0027'!$L$50</f>
        <v>200000</v>
      </c>
      <c r="G36" s="148">
        <f>'0027'!$M$50</f>
        <v>100000</v>
      </c>
      <c r="H36" s="148">
        <f>'0027'!$N$50</f>
        <v>0</v>
      </c>
      <c r="I36" s="149">
        <v>23814.989098501523</v>
      </c>
      <c r="J36" s="149">
        <v>31577.835098420634</v>
      </c>
      <c r="K36" s="148">
        <v>31000</v>
      </c>
      <c r="L36" s="149">
        <f t="shared" si="0"/>
        <v>324392.82419692213</v>
      </c>
      <c r="M36" s="148"/>
      <c r="N36" s="121">
        <f t="shared" si="3"/>
        <v>23192.532882356038</v>
      </c>
      <c r="O36" s="121">
        <f t="shared" si="1"/>
        <v>1734.0807374691828</v>
      </c>
      <c r="P36" s="121">
        <f t="shared" si="2"/>
        <v>24926.613619825221</v>
      </c>
    </row>
    <row r="37" spans="1:17" ht="20.25" customHeight="1" thickBot="1">
      <c r="A37" s="232" t="s">
        <v>138</v>
      </c>
      <c r="B37" s="233">
        <v>40709</v>
      </c>
      <c r="C37" s="234" t="s">
        <v>342</v>
      </c>
      <c r="D37" s="166" t="s">
        <v>272</v>
      </c>
      <c r="E37" s="148" t="s">
        <v>265</v>
      </c>
      <c r="F37" s="148">
        <f>'0093'!$L$30</f>
        <v>500000</v>
      </c>
      <c r="G37" s="148">
        <f>'0093'!$M$30</f>
        <v>600000</v>
      </c>
      <c r="H37" s="148">
        <f>'0093'!$N$30</f>
        <v>0</v>
      </c>
      <c r="I37" s="149">
        <v>23814.989098501523</v>
      </c>
      <c r="J37" s="149">
        <v>31577.835098420634</v>
      </c>
      <c r="K37" s="148">
        <v>31000</v>
      </c>
      <c r="L37" s="149">
        <f t="shared" si="0"/>
        <v>1124392.8241969224</v>
      </c>
      <c r="M37" s="148"/>
      <c r="N37" s="121">
        <f t="shared" si="3"/>
        <v>80388.700374093285</v>
      </c>
      <c r="O37" s="121">
        <f t="shared" si="1"/>
        <v>6010.5766599967728</v>
      </c>
      <c r="P37" s="121">
        <f t="shared" si="2"/>
        <v>86399.277034090061</v>
      </c>
    </row>
    <row r="38" spans="1:17" ht="20.25" customHeight="1" thickBot="1">
      <c r="A38" s="232" t="s">
        <v>139</v>
      </c>
      <c r="B38" s="233">
        <v>40732</v>
      </c>
      <c r="C38" s="234" t="s">
        <v>275</v>
      </c>
      <c r="D38" s="166" t="s">
        <v>313</v>
      </c>
      <c r="E38" s="148" t="s">
        <v>96</v>
      </c>
      <c r="F38" s="148">
        <f>'0029'!$L$52</f>
        <v>500000</v>
      </c>
      <c r="G38" s="148">
        <f>'0029'!$M$52</f>
        <v>250000</v>
      </c>
      <c r="H38" s="148">
        <f>'0029'!$N$52</f>
        <v>0</v>
      </c>
      <c r="I38" s="149">
        <v>23814.989098501523</v>
      </c>
      <c r="J38" s="149">
        <v>31577.835098420634</v>
      </c>
      <c r="K38" s="148">
        <v>31000</v>
      </c>
      <c r="L38" s="149">
        <f t="shared" si="0"/>
        <v>774392.82419692213</v>
      </c>
      <c r="M38" s="148"/>
      <c r="N38" s="121">
        <f t="shared" si="3"/>
        <v>55365.377096458229</v>
      </c>
      <c r="O38" s="121">
        <f t="shared" si="1"/>
        <v>4139.6096938909513</v>
      </c>
      <c r="P38" s="121">
        <f t="shared" si="2"/>
        <v>59504.986790349183</v>
      </c>
    </row>
    <row r="39" spans="1:17" ht="20.25" customHeight="1" thickBot="1">
      <c r="A39" s="232" t="s">
        <v>140</v>
      </c>
      <c r="B39" s="233">
        <v>40732</v>
      </c>
      <c r="C39" s="234" t="s">
        <v>278</v>
      </c>
      <c r="D39" s="166" t="s">
        <v>279</v>
      </c>
      <c r="E39" s="148" t="s">
        <v>280</v>
      </c>
      <c r="F39" s="148">
        <f>'0030'!$L$65</f>
        <v>500000</v>
      </c>
      <c r="G39" s="148">
        <f>'0030'!$M$65</f>
        <v>370000</v>
      </c>
      <c r="H39" s="148">
        <f>'0030'!$N$65</f>
        <v>0</v>
      </c>
      <c r="I39" s="149">
        <v>31356.402313027007</v>
      </c>
      <c r="J39" s="149">
        <v>68394.9710886463</v>
      </c>
      <c r="K39" s="148">
        <v>68000</v>
      </c>
      <c r="L39" s="149">
        <f t="shared" si="0"/>
        <v>901751.37340167339</v>
      </c>
      <c r="M39" s="148"/>
      <c r="N39" s="121">
        <f t="shared" si="3"/>
        <v>64470.903236232734</v>
      </c>
      <c r="O39" s="121">
        <f t="shared" si="1"/>
        <v>4820.420089357387</v>
      </c>
      <c r="P39" s="121">
        <f t="shared" si="2"/>
        <v>69291.323325590114</v>
      </c>
    </row>
    <row r="40" spans="1:17" ht="20.25" customHeight="1" thickBot="1">
      <c r="A40" s="232" t="s">
        <v>141</v>
      </c>
      <c r="B40" s="233">
        <v>40756</v>
      </c>
      <c r="C40" s="234" t="s">
        <v>287</v>
      </c>
      <c r="D40" s="166" t="s">
        <v>288</v>
      </c>
      <c r="E40" s="148" t="s">
        <v>289</v>
      </c>
      <c r="F40" s="148">
        <f>'0031'!$L$30</f>
        <v>500000</v>
      </c>
      <c r="G40" s="148">
        <f>'0031'!$M$30</f>
        <v>90000</v>
      </c>
      <c r="H40" s="148">
        <f>'0031'!$N$30</f>
        <v>10000</v>
      </c>
      <c r="I40" s="149">
        <v>19845.824248751269</v>
      </c>
      <c r="J40" s="149">
        <v>26314.862582017195</v>
      </c>
      <c r="K40" s="148">
        <v>26000</v>
      </c>
      <c r="L40" s="149">
        <f t="shared" si="0"/>
        <v>620160.68683076848</v>
      </c>
      <c r="M40" s="148"/>
      <c r="N40" s="121">
        <f t="shared" si="3"/>
        <v>44338.518144704292</v>
      </c>
      <c r="O40" s="121">
        <f t="shared" si="1"/>
        <v>3315.143310679613</v>
      </c>
      <c r="P40" s="121">
        <f t="shared" si="2"/>
        <v>47653.661455383903</v>
      </c>
    </row>
    <row r="41" spans="1:17" ht="20.25" customHeight="1" thickBot="1">
      <c r="A41" s="232" t="s">
        <v>142</v>
      </c>
      <c r="B41" s="233">
        <v>40780</v>
      </c>
      <c r="C41" s="234" t="s">
        <v>283</v>
      </c>
      <c r="D41" s="166" t="s">
        <v>284</v>
      </c>
      <c r="E41" s="148" t="s">
        <v>285</v>
      </c>
      <c r="F41" s="148">
        <f>'0087'!$L$50</f>
        <v>500000</v>
      </c>
      <c r="G41" s="148">
        <f>'0087'!$M$50</f>
        <v>300000</v>
      </c>
      <c r="H41" s="148">
        <f>'0087'!$N$50</f>
        <v>300000</v>
      </c>
      <c r="I41" s="149">
        <v>25402.655038401623</v>
      </c>
      <c r="J41" s="149">
        <v>33683.024104982003</v>
      </c>
      <c r="K41" s="148">
        <v>33000</v>
      </c>
      <c r="L41" s="149">
        <f t="shared" si="0"/>
        <v>1126085.6791433836</v>
      </c>
      <c r="M41" s="148"/>
      <c r="N41" s="121">
        <f t="shared" si="3"/>
        <v>80509.73139291456</v>
      </c>
      <c r="O41" s="121">
        <f t="shared" si="1"/>
        <v>6019.6260190917383</v>
      </c>
      <c r="P41" s="121">
        <f t="shared" si="2"/>
        <v>86529.357412006299</v>
      </c>
    </row>
    <row r="42" spans="1:17" ht="20.25" customHeight="1" thickBot="1">
      <c r="A42" s="232" t="s">
        <v>143</v>
      </c>
      <c r="B42" s="233">
        <v>40839</v>
      </c>
      <c r="C42" s="234" t="s">
        <v>308</v>
      </c>
      <c r="D42" s="166" t="s">
        <v>309</v>
      </c>
      <c r="E42" s="148" t="s">
        <v>310</v>
      </c>
      <c r="F42" s="148">
        <f>'0103'!$L$50</f>
        <v>500000</v>
      </c>
      <c r="G42" s="148">
        <f>'0103'!$M$50</f>
        <v>750000</v>
      </c>
      <c r="H42" s="148">
        <f>'0103'!$N$50</f>
        <v>600000</v>
      </c>
      <c r="I42" s="149">
        <v>1587.6659399001014</v>
      </c>
      <c r="J42" s="149">
        <v>2105.1890065613752</v>
      </c>
      <c r="K42" s="148">
        <v>0</v>
      </c>
      <c r="L42" s="149">
        <f t="shared" si="0"/>
        <v>1853692.8549464615</v>
      </c>
      <c r="M42" s="148"/>
      <c r="N42" s="121">
        <f t="shared" si="3"/>
        <v>132530.15876219299</v>
      </c>
      <c r="O42" s="121">
        <f t="shared" si="1"/>
        <v>9909.1374197463356</v>
      </c>
      <c r="P42" s="121">
        <f t="shared" si="2"/>
        <v>142439.29618193934</v>
      </c>
    </row>
    <row r="43" spans="1:17" ht="20.25" customHeight="1" thickBot="1">
      <c r="A43" s="232" t="s">
        <v>144</v>
      </c>
      <c r="B43" s="233">
        <v>40845</v>
      </c>
      <c r="C43" s="234" t="s">
        <v>294</v>
      </c>
      <c r="D43" s="166" t="s">
        <v>314</v>
      </c>
      <c r="E43" s="148" t="s">
        <v>265</v>
      </c>
      <c r="F43" s="148">
        <f>'0034'!$L$54</f>
        <v>500000</v>
      </c>
      <c r="G43" s="148">
        <f>'0034'!$M$54</f>
        <v>370000</v>
      </c>
      <c r="H43" s="148">
        <f>'0034'!$N$54</f>
        <v>0</v>
      </c>
      <c r="I43" s="149">
        <v>17464.325338901119</v>
      </c>
      <c r="J43" s="149">
        <v>23157.079072175129</v>
      </c>
      <c r="K43" s="148">
        <v>23000</v>
      </c>
      <c r="L43" s="149">
        <f t="shared" si="0"/>
        <v>887621.40441107622</v>
      </c>
      <c r="M43" s="148"/>
      <c r="N43" s="121">
        <f t="shared" si="3"/>
        <v>63460.678144933678</v>
      </c>
      <c r="O43" s="121">
        <f t="shared" si="1"/>
        <v>4744.8866458902248</v>
      </c>
      <c r="P43" s="121">
        <f t="shared" si="2"/>
        <v>68205.564790823904</v>
      </c>
    </row>
    <row r="44" spans="1:17" ht="20.25" customHeight="1" thickBot="1">
      <c r="A44" s="232" t="s">
        <v>145</v>
      </c>
      <c r="B44" s="233">
        <v>41027</v>
      </c>
      <c r="C44" s="234" t="s">
        <v>318</v>
      </c>
      <c r="D44" s="166" t="s">
        <v>395</v>
      </c>
      <c r="E44" s="148" t="s">
        <v>319</v>
      </c>
      <c r="F44" s="148">
        <f>'0104'!$L$62</f>
        <v>500000</v>
      </c>
      <c r="G44" s="148">
        <f>'0104'!$M$62</f>
        <v>900000</v>
      </c>
      <c r="H44" s="148">
        <f>'0104'!$N$62</f>
        <v>400000</v>
      </c>
      <c r="I44" s="149">
        <v>19542.023893010199</v>
      </c>
      <c r="J44" s="149">
        <v>95035.524490848795</v>
      </c>
      <c r="K44" s="148">
        <v>95000</v>
      </c>
      <c r="L44" s="149">
        <f t="shared" si="0"/>
        <v>1819577.548383859</v>
      </c>
      <c r="M44" s="148"/>
      <c r="N44" s="121">
        <f>(L44/$L$163)*100%*(8/12)*$N$9</f>
        <v>86727.385184639832</v>
      </c>
      <c r="O44" s="121"/>
      <c r="P44" s="121">
        <f t="shared" si="2"/>
        <v>86727.385184639832</v>
      </c>
      <c r="Q44" s="121">
        <f>(L44/$L$163)*100%*(4/12)*$N$9</f>
        <v>43363.692592319916</v>
      </c>
    </row>
    <row r="45" spans="1:17" ht="20.25" customHeight="1" thickBot="1">
      <c r="A45" s="232" t="s">
        <v>146</v>
      </c>
      <c r="B45" s="233">
        <v>41061</v>
      </c>
      <c r="C45" s="234" t="s">
        <v>330</v>
      </c>
      <c r="D45" s="166" t="s">
        <v>331</v>
      </c>
      <c r="E45" s="148" t="s">
        <v>332</v>
      </c>
      <c r="F45" s="148">
        <f>'0036'!$L$51</f>
        <v>500000</v>
      </c>
      <c r="G45" s="148">
        <f>'0036'!$M$51</f>
        <v>875000</v>
      </c>
      <c r="H45" s="148">
        <f>'0036'!$N$51</f>
        <v>59000</v>
      </c>
      <c r="I45" s="149">
        <v>28985.349463260587</v>
      </c>
      <c r="J45" s="149">
        <v>93908.539108100624</v>
      </c>
      <c r="K45" s="148">
        <v>93000</v>
      </c>
      <c r="L45" s="149">
        <f t="shared" si="0"/>
        <v>1463893.8885713611</v>
      </c>
      <c r="M45" s="148"/>
      <c r="N45" s="121">
        <f>(L45/$L$163)*100%*(7/12)*$N$9</f>
        <v>61052.483363125684</v>
      </c>
      <c r="O45" s="121"/>
      <c r="P45" s="121">
        <f t="shared" si="2"/>
        <v>61052.483363125684</v>
      </c>
      <c r="Q45" s="121">
        <f>(L45/$L$163)*100%*(5/12)*$N$9</f>
        <v>43608.916687946919</v>
      </c>
    </row>
    <row r="46" spans="1:17" ht="20.25" customHeight="1" thickBot="1">
      <c r="A46" s="232" t="s">
        <v>147</v>
      </c>
      <c r="B46" s="233">
        <v>41116</v>
      </c>
      <c r="C46" s="234" t="s">
        <v>353</v>
      </c>
      <c r="D46" s="166" t="s">
        <v>349</v>
      </c>
      <c r="E46" s="148" t="s">
        <v>350</v>
      </c>
      <c r="F46" s="148">
        <f>'0037'!$L$50</f>
        <v>500000</v>
      </c>
      <c r="G46" s="148">
        <f>'0037'!$M$50</f>
        <v>1575000</v>
      </c>
      <c r="H46" s="148">
        <f>'0037'!$N$50</f>
        <v>0</v>
      </c>
      <c r="I46" s="149">
        <v>18618.544105383215</v>
      </c>
      <c r="J46" s="149">
        <v>87144.017345246175</v>
      </c>
      <c r="K46" s="148">
        <v>87000</v>
      </c>
      <c r="L46" s="149">
        <f t="shared" si="0"/>
        <v>2093762.5614506295</v>
      </c>
      <c r="M46" s="148"/>
      <c r="N46" s="121">
        <f>(L46/$L$163)*100%*(5/12)*$N$9</f>
        <v>62372.496954509887</v>
      </c>
      <c r="O46" s="121"/>
      <c r="P46" s="121">
        <f t="shared" si="2"/>
        <v>62372.496954509887</v>
      </c>
      <c r="Q46" s="121">
        <f>(L46/$L$163)*100%*(7/12)*$N$9</f>
        <v>87321.495736313838</v>
      </c>
    </row>
    <row r="47" spans="1:17" ht="20.25" customHeight="1" thickBot="1">
      <c r="A47" s="232" t="s">
        <v>148</v>
      </c>
      <c r="B47" s="233">
        <v>41117</v>
      </c>
      <c r="C47" s="234" t="s">
        <v>354</v>
      </c>
      <c r="D47" s="166" t="s">
        <v>396</v>
      </c>
      <c r="E47" s="148" t="s">
        <v>355</v>
      </c>
      <c r="F47" s="148">
        <f>'0038'!$L$49</f>
        <v>500000</v>
      </c>
      <c r="G47" s="148">
        <f>'0038'!$M$49</f>
        <v>2050000</v>
      </c>
      <c r="H47" s="148">
        <f>'0038'!$N$49</f>
        <v>150000</v>
      </c>
      <c r="I47" s="149">
        <v>29789.670568613143</v>
      </c>
      <c r="J47" s="149">
        <v>197941.31111761378</v>
      </c>
      <c r="K47" s="148">
        <v>197000</v>
      </c>
      <c r="L47" s="149">
        <f t="shared" si="0"/>
        <v>2730730.981686227</v>
      </c>
      <c r="M47" s="148"/>
      <c r="N47" s="121">
        <f>(L47/$L$163)*100%*(5/12)*$N$9</f>
        <v>81347.576355938276</v>
      </c>
      <c r="O47" s="121"/>
      <c r="P47" s="121">
        <f t="shared" si="2"/>
        <v>81347.576355938276</v>
      </c>
      <c r="Q47" s="121">
        <f>(L47/$L$163)*100%*(7/12)*$N$9</f>
        <v>113886.60689831361</v>
      </c>
    </row>
    <row r="48" spans="1:17" ht="20.25" customHeight="1" thickBot="1">
      <c r="A48" s="232" t="s">
        <v>149</v>
      </c>
      <c r="B48" s="233">
        <v>41229</v>
      </c>
      <c r="C48" s="234" t="s">
        <v>369</v>
      </c>
      <c r="D48" s="166" t="s">
        <v>378</v>
      </c>
      <c r="E48" s="148" t="s">
        <v>370</v>
      </c>
      <c r="F48" s="148">
        <f>'0105'!$L$50</f>
        <v>500000</v>
      </c>
      <c r="G48" s="148">
        <f>'0105'!$M$50</f>
        <v>50000</v>
      </c>
      <c r="H48" s="148">
        <f>'0105'!$N$50</f>
        <v>0</v>
      </c>
      <c r="I48" s="149">
        <v>3574.7604682335768</v>
      </c>
      <c r="J48" s="149">
        <v>117370.37071846552</v>
      </c>
      <c r="K48" s="148">
        <v>117000</v>
      </c>
      <c r="L48" s="149">
        <f t="shared" si="0"/>
        <v>553945.13118669915</v>
      </c>
      <c r="M48" s="148"/>
      <c r="N48" s="121">
        <f>(L48/$L$163)*100%*(1/12)*$N$9</f>
        <v>3300.3685942277912</v>
      </c>
      <c r="O48" s="121"/>
      <c r="P48" s="121">
        <f t="shared" si="2"/>
        <v>3300.3685942277912</v>
      </c>
      <c r="Q48" s="121">
        <f>(L48/$L$163)*100%*(11/12)*$N$9</f>
        <v>36304.054536505704</v>
      </c>
    </row>
    <row r="49" spans="1:17" ht="20.25" customHeight="1" thickBot="1">
      <c r="A49" s="232" t="s">
        <v>150</v>
      </c>
      <c r="B49" s="233">
        <v>41263</v>
      </c>
      <c r="C49" s="234" t="s">
        <v>376</v>
      </c>
      <c r="D49" s="166" t="s">
        <v>377</v>
      </c>
      <c r="E49" s="148" t="s">
        <v>370</v>
      </c>
      <c r="F49" s="148">
        <f>'0040'!$L$50</f>
        <v>500000</v>
      </c>
      <c r="G49" s="148">
        <f>'0040'!$M$50</f>
        <v>600000</v>
      </c>
      <c r="H49" s="148">
        <f>'0040'!$N$50</f>
        <v>0</v>
      </c>
      <c r="I49" s="149">
        <v>2978.9670568613137</v>
      </c>
      <c r="J49" s="149">
        <v>58801.386688574647</v>
      </c>
      <c r="K49" s="148">
        <v>58000</v>
      </c>
      <c r="L49" s="149">
        <f t="shared" si="0"/>
        <v>1103780.3537454361</v>
      </c>
      <c r="M49" s="148"/>
      <c r="N49" s="121">
        <f>(L49/$L$163)*100%*(1/12)*$N$9</f>
        <v>6576.2506236367635</v>
      </c>
      <c r="O49" s="121"/>
      <c r="P49" s="121">
        <f t="shared" si="2"/>
        <v>6576.2506236367635</v>
      </c>
      <c r="Q49" s="121">
        <f>(L49/$L$163)*100%*(11/12)*$N$9</f>
        <v>72338.756860004403</v>
      </c>
    </row>
    <row r="50" spans="1:17" ht="20.25" customHeight="1" thickBot="1">
      <c r="A50" s="232" t="s">
        <v>151</v>
      </c>
      <c r="B50" s="233">
        <v>41326</v>
      </c>
      <c r="C50" s="234" t="s">
        <v>401</v>
      </c>
      <c r="D50" s="166" t="s">
        <v>473</v>
      </c>
      <c r="E50" s="148" t="s">
        <v>402</v>
      </c>
      <c r="F50" s="148">
        <f>'0041'!$L$87</f>
        <v>500000</v>
      </c>
      <c r="G50" s="148">
        <f>'0041'!$M$87</f>
        <v>2115000</v>
      </c>
      <c r="H50" s="148">
        <f>'0041'!$N$87</f>
        <v>127000</v>
      </c>
      <c r="I50" s="148">
        <v>0</v>
      </c>
      <c r="J50" s="149">
        <v>65735.222341978777</v>
      </c>
      <c r="K50" s="148">
        <v>65000</v>
      </c>
      <c r="L50" s="149">
        <f t="shared" si="0"/>
        <v>2742735.2223419789</v>
      </c>
      <c r="M50" s="148"/>
      <c r="N50" s="116"/>
      <c r="O50" s="116"/>
      <c r="P50" s="116"/>
    </row>
    <row r="51" spans="1:17" ht="20.25" customHeight="1" thickBot="1">
      <c r="A51" s="232" t="s">
        <v>152</v>
      </c>
      <c r="B51" s="233">
        <v>41340</v>
      </c>
      <c r="C51" s="234" t="s">
        <v>409</v>
      </c>
      <c r="D51" s="166" t="s">
        <v>445</v>
      </c>
      <c r="E51" s="148" t="s">
        <v>414</v>
      </c>
      <c r="F51" s="148">
        <f>'0042'!$L$55</f>
        <v>500000</v>
      </c>
      <c r="G51" s="148">
        <f>'0042'!$M$55</f>
        <v>425000</v>
      </c>
      <c r="H51" s="148">
        <f>'0042'!$N$55</f>
        <v>0</v>
      </c>
      <c r="I51" s="148">
        <v>0</v>
      </c>
      <c r="J51" s="149">
        <v>59572.545247418253</v>
      </c>
      <c r="K51" s="148">
        <v>59000</v>
      </c>
      <c r="L51" s="149">
        <f t="shared" si="0"/>
        <v>925572.54524741822</v>
      </c>
      <c r="M51" s="148"/>
      <c r="N51" s="116"/>
      <c r="O51" s="116"/>
      <c r="P51" s="116"/>
    </row>
    <row r="52" spans="1:17" ht="20.25" customHeight="1" thickBot="1">
      <c r="A52" s="232" t="s">
        <v>153</v>
      </c>
      <c r="B52" s="233">
        <v>41411</v>
      </c>
      <c r="C52" s="234" t="s">
        <v>431</v>
      </c>
      <c r="D52" s="166" t="s">
        <v>432</v>
      </c>
      <c r="E52" s="148" t="s">
        <v>433</v>
      </c>
      <c r="F52" s="148">
        <f>'0043'!$L$30</f>
        <v>500000</v>
      </c>
      <c r="G52" s="148">
        <f>'0043'!$M$30</f>
        <v>0</v>
      </c>
      <c r="H52" s="148">
        <f>'0043'!$N$30</f>
        <v>0</v>
      </c>
      <c r="I52" s="148">
        <v>0</v>
      </c>
      <c r="J52" s="149">
        <v>100547.11438957757</v>
      </c>
      <c r="K52" s="148">
        <v>100000</v>
      </c>
      <c r="L52" s="149">
        <f t="shared" si="0"/>
        <v>500547.11438957753</v>
      </c>
      <c r="M52" s="148"/>
      <c r="N52" s="116"/>
      <c r="O52" s="116"/>
      <c r="P52" s="116"/>
    </row>
    <row r="53" spans="1:17" ht="20.25" customHeight="1" thickBot="1">
      <c r="A53" s="232" t="s">
        <v>154</v>
      </c>
      <c r="B53" s="233">
        <v>41446</v>
      </c>
      <c r="C53" s="234" t="s">
        <v>451</v>
      </c>
      <c r="D53" s="166" t="s">
        <v>455</v>
      </c>
      <c r="E53" s="148" t="s">
        <v>475</v>
      </c>
      <c r="F53" s="148">
        <f>'0044'!$L$30</f>
        <v>0</v>
      </c>
      <c r="G53" s="148">
        <f>'0044'!$M$30</f>
        <v>50000</v>
      </c>
      <c r="H53" s="148">
        <f>'0044'!$N$30</f>
        <v>0</v>
      </c>
      <c r="I53" s="148">
        <v>0</v>
      </c>
      <c r="J53" s="149">
        <v>2573.5402949177005</v>
      </c>
      <c r="K53" s="148">
        <v>0</v>
      </c>
      <c r="L53" s="149">
        <f t="shared" si="0"/>
        <v>52573.540294917701</v>
      </c>
      <c r="M53" s="148"/>
      <c r="N53" s="116"/>
      <c r="O53" s="116"/>
      <c r="P53" s="116"/>
    </row>
    <row r="54" spans="1:17" ht="20.25" customHeight="1" thickBot="1">
      <c r="A54" s="232" t="s">
        <v>155</v>
      </c>
      <c r="B54" s="233">
        <v>41476</v>
      </c>
      <c r="C54" s="234" t="s">
        <v>460</v>
      </c>
      <c r="D54" s="166" t="s">
        <v>474</v>
      </c>
      <c r="E54" s="148" t="s">
        <v>461</v>
      </c>
      <c r="F54" s="148">
        <f>'0045'!L66</f>
        <v>500000</v>
      </c>
      <c r="G54" s="148">
        <f>'0045'!$M$66</f>
        <v>1030000</v>
      </c>
      <c r="H54" s="148">
        <f>'0045'!$N$66</f>
        <v>20000</v>
      </c>
      <c r="I54" s="148">
        <v>0</v>
      </c>
      <c r="J54" s="149">
        <v>27153.675242465968</v>
      </c>
      <c r="K54" s="148">
        <v>27000</v>
      </c>
      <c r="L54" s="149">
        <f t="shared" si="0"/>
        <v>1550153.6752424659</v>
      </c>
      <c r="M54" s="148"/>
      <c r="N54" s="116"/>
      <c r="O54" s="116"/>
      <c r="P54" s="116"/>
    </row>
    <row r="55" spans="1:17" ht="20.25" customHeight="1" thickBot="1">
      <c r="A55" s="232" t="s">
        <v>156</v>
      </c>
      <c r="B55" s="233">
        <v>41513</v>
      </c>
      <c r="C55" s="234" t="s">
        <v>470</v>
      </c>
      <c r="D55" s="166" t="s">
        <v>432</v>
      </c>
      <c r="E55" s="148" t="s">
        <v>433</v>
      </c>
      <c r="F55" s="148">
        <f>'0046'!L54</f>
        <v>500000</v>
      </c>
      <c r="G55" s="148">
        <f>'0046'!$M$54</f>
        <v>1650000</v>
      </c>
      <c r="H55" s="148">
        <f>'0046'!$N$54</f>
        <v>0</v>
      </c>
      <c r="I55" s="148">
        <v>0</v>
      </c>
      <c r="J55" s="149">
        <v>24382.14404656113</v>
      </c>
      <c r="K55" s="148">
        <v>24000</v>
      </c>
      <c r="L55" s="149">
        <f t="shared" si="0"/>
        <v>2150382.1440465613</v>
      </c>
      <c r="M55" s="148"/>
      <c r="N55" s="116"/>
      <c r="O55" s="116"/>
      <c r="P55" s="116"/>
    </row>
    <row r="56" spans="1:17" ht="20.25" customHeight="1" thickBot="1">
      <c r="A56" s="232" t="s">
        <v>157</v>
      </c>
      <c r="B56" s="233">
        <v>41614</v>
      </c>
      <c r="C56" s="234" t="s">
        <v>494</v>
      </c>
      <c r="D56" s="166" t="s">
        <v>502</v>
      </c>
      <c r="E56" s="148" t="s">
        <v>411</v>
      </c>
      <c r="F56" s="148">
        <f>'0047'!L50</f>
        <v>500000</v>
      </c>
      <c r="G56" s="148">
        <f>'0047'!$M$50</f>
        <v>0</v>
      </c>
      <c r="H56" s="148">
        <f>'0047'!$N$50</f>
        <v>0</v>
      </c>
      <c r="I56" s="148">
        <v>0</v>
      </c>
      <c r="J56" s="149">
        <v>12920.177352009097</v>
      </c>
      <c r="K56" s="148">
        <v>12000</v>
      </c>
      <c r="L56" s="149">
        <f t="shared" si="0"/>
        <v>500920.17735200911</v>
      </c>
      <c r="M56" s="148"/>
      <c r="N56" s="116"/>
      <c r="O56" s="116"/>
      <c r="P56" s="116"/>
    </row>
    <row r="57" spans="1:17" ht="20.25" customHeight="1" thickBot="1">
      <c r="A57" s="232" t="s">
        <v>158</v>
      </c>
      <c r="B57" s="233">
        <v>41621</v>
      </c>
      <c r="C57" s="234" t="s">
        <v>496</v>
      </c>
      <c r="D57" s="166" t="s">
        <v>501</v>
      </c>
      <c r="E57" s="148" t="s">
        <v>411</v>
      </c>
      <c r="F57" s="148">
        <f>'0048'!L47</f>
        <v>500000</v>
      </c>
      <c r="G57" s="148">
        <f>'0048'!$M$47</f>
        <v>1400000</v>
      </c>
      <c r="H57" s="148">
        <f>'0048'!$N$47</f>
        <v>0</v>
      </c>
      <c r="I57" s="148">
        <v>0</v>
      </c>
      <c r="J57" s="149">
        <v>12920.177352009097</v>
      </c>
      <c r="K57" s="148">
        <v>12000</v>
      </c>
      <c r="L57" s="149">
        <f t="shared" si="0"/>
        <v>1900920.1773520091</v>
      </c>
      <c r="M57" s="148"/>
      <c r="N57" s="116"/>
      <c r="O57" s="116"/>
      <c r="P57" s="116"/>
    </row>
    <row r="58" spans="1:17" ht="13.5" hidden="1" thickBot="1">
      <c r="A58" s="232" t="s">
        <v>159</v>
      </c>
      <c r="B58" s="233"/>
      <c r="C58" s="234"/>
      <c r="D58" s="234"/>
      <c r="E58" s="148"/>
      <c r="F58" s="148"/>
      <c r="G58" s="148"/>
      <c r="H58" s="148"/>
      <c r="I58" s="148"/>
      <c r="J58" s="148"/>
      <c r="K58" s="148"/>
      <c r="L58" s="149"/>
      <c r="M58" s="148"/>
      <c r="N58" s="116"/>
      <c r="O58" s="116"/>
      <c r="P58" s="116"/>
    </row>
    <row r="59" spans="1:17" ht="13.5" hidden="1" thickBot="1">
      <c r="A59" s="232" t="s">
        <v>160</v>
      </c>
      <c r="B59" s="233"/>
      <c r="C59" s="234"/>
      <c r="D59" s="234"/>
      <c r="E59" s="148"/>
      <c r="F59" s="148"/>
      <c r="G59" s="148"/>
      <c r="H59" s="148"/>
      <c r="I59" s="148"/>
      <c r="J59" s="148"/>
      <c r="K59" s="148"/>
      <c r="L59" s="149"/>
      <c r="M59" s="148"/>
      <c r="N59" s="116"/>
      <c r="O59" s="116"/>
      <c r="P59" s="116"/>
    </row>
    <row r="60" spans="1:17" ht="13.5" hidden="1" thickBot="1">
      <c r="A60" s="232" t="s">
        <v>161</v>
      </c>
      <c r="B60" s="233"/>
      <c r="C60" s="234"/>
      <c r="D60" s="234"/>
      <c r="E60" s="148"/>
      <c r="F60" s="148"/>
      <c r="G60" s="148"/>
      <c r="H60" s="148"/>
      <c r="I60" s="148"/>
      <c r="J60" s="148"/>
      <c r="K60" s="148"/>
      <c r="L60" s="149"/>
      <c r="M60" s="148"/>
      <c r="N60" s="116"/>
      <c r="O60" s="116"/>
      <c r="P60" s="116"/>
    </row>
    <row r="61" spans="1:17" ht="13.5" hidden="1" thickBot="1">
      <c r="A61" s="232" t="s">
        <v>162</v>
      </c>
      <c r="B61" s="233"/>
      <c r="C61" s="234"/>
      <c r="D61" s="234"/>
      <c r="E61" s="148"/>
      <c r="F61" s="148"/>
      <c r="G61" s="148"/>
      <c r="H61" s="148"/>
      <c r="I61" s="148"/>
      <c r="J61" s="148"/>
      <c r="K61" s="148"/>
      <c r="L61" s="149"/>
      <c r="M61" s="148"/>
      <c r="N61" s="116"/>
      <c r="O61" s="116"/>
      <c r="P61" s="116"/>
    </row>
    <row r="62" spans="1:17" ht="13.5" hidden="1" thickBot="1">
      <c r="A62" s="232" t="s">
        <v>163</v>
      </c>
      <c r="B62" s="233"/>
      <c r="C62" s="234"/>
      <c r="D62" s="234"/>
      <c r="E62" s="148"/>
      <c r="F62" s="148"/>
      <c r="G62" s="148"/>
      <c r="H62" s="148"/>
      <c r="I62" s="148"/>
      <c r="J62" s="148"/>
      <c r="K62" s="148"/>
      <c r="L62" s="149"/>
      <c r="M62" s="148"/>
      <c r="N62" s="116"/>
      <c r="O62" s="116"/>
      <c r="P62" s="116"/>
    </row>
    <row r="63" spans="1:17" ht="13.5" hidden="1" thickBot="1">
      <c r="A63" s="232" t="s">
        <v>164</v>
      </c>
      <c r="B63" s="233"/>
      <c r="C63" s="234"/>
      <c r="D63" s="234"/>
      <c r="E63" s="148"/>
      <c r="F63" s="148"/>
      <c r="G63" s="148"/>
      <c r="H63" s="148"/>
      <c r="I63" s="148"/>
      <c r="J63" s="148"/>
      <c r="K63" s="148"/>
      <c r="L63" s="149"/>
      <c r="M63" s="148"/>
      <c r="N63" s="116"/>
      <c r="O63" s="116"/>
      <c r="P63" s="116"/>
    </row>
    <row r="64" spans="1:17" ht="13.5" hidden="1" thickBot="1">
      <c r="A64" s="232" t="s">
        <v>165</v>
      </c>
      <c r="B64" s="233"/>
      <c r="C64" s="234"/>
      <c r="D64" s="234"/>
      <c r="E64" s="148"/>
      <c r="F64" s="148"/>
      <c r="G64" s="148"/>
      <c r="H64" s="148"/>
      <c r="I64" s="148"/>
      <c r="J64" s="148"/>
      <c r="K64" s="148"/>
      <c r="L64" s="149"/>
      <c r="M64" s="148"/>
      <c r="N64" s="116"/>
      <c r="O64" s="116"/>
      <c r="P64" s="116"/>
    </row>
    <row r="65" spans="1:16" ht="13.5" hidden="1" thickBot="1">
      <c r="A65" s="232" t="s">
        <v>166</v>
      </c>
      <c r="B65" s="233"/>
      <c r="C65" s="234"/>
      <c r="D65" s="234"/>
      <c r="E65" s="148"/>
      <c r="F65" s="148"/>
      <c r="G65" s="148"/>
      <c r="H65" s="148"/>
      <c r="I65" s="148"/>
      <c r="J65" s="148"/>
      <c r="K65" s="148"/>
      <c r="L65" s="149"/>
      <c r="M65" s="148"/>
      <c r="N65" s="116"/>
      <c r="O65" s="116"/>
      <c r="P65" s="116"/>
    </row>
    <row r="66" spans="1:16" ht="13.5" hidden="1" thickBot="1">
      <c r="A66" s="232" t="s">
        <v>167</v>
      </c>
      <c r="B66" s="233"/>
      <c r="C66" s="234"/>
      <c r="D66" s="234"/>
      <c r="E66" s="148"/>
      <c r="F66" s="148"/>
      <c r="G66" s="148"/>
      <c r="H66" s="148"/>
      <c r="I66" s="148"/>
      <c r="J66" s="148"/>
      <c r="K66" s="148"/>
      <c r="L66" s="149"/>
      <c r="M66" s="148"/>
      <c r="N66" s="116"/>
      <c r="O66" s="116"/>
      <c r="P66" s="116"/>
    </row>
    <row r="67" spans="1:16" ht="13.5" hidden="1" thickBot="1">
      <c r="A67" s="232" t="s">
        <v>168</v>
      </c>
      <c r="B67" s="233"/>
      <c r="C67" s="234"/>
      <c r="D67" s="234"/>
      <c r="E67" s="148"/>
      <c r="F67" s="148"/>
      <c r="G67" s="148"/>
      <c r="H67" s="148"/>
      <c r="I67" s="148"/>
      <c r="J67" s="148"/>
      <c r="K67" s="148"/>
      <c r="L67" s="149"/>
      <c r="M67" s="148"/>
      <c r="N67" s="116"/>
      <c r="O67" s="116"/>
      <c r="P67" s="116"/>
    </row>
    <row r="68" spans="1:16" ht="13.5" hidden="1" thickBot="1">
      <c r="A68" s="232" t="s">
        <v>169</v>
      </c>
      <c r="B68" s="233"/>
      <c r="C68" s="234"/>
      <c r="D68" s="234"/>
      <c r="E68" s="148"/>
      <c r="F68" s="148"/>
      <c r="G68" s="148"/>
      <c r="H68" s="148"/>
      <c r="I68" s="148"/>
      <c r="J68" s="148"/>
      <c r="K68" s="148"/>
      <c r="L68" s="149"/>
      <c r="M68" s="148"/>
      <c r="N68" s="116"/>
      <c r="O68" s="116"/>
      <c r="P68" s="116"/>
    </row>
    <row r="69" spans="1:16" ht="13.5" hidden="1" thickBot="1">
      <c r="A69" s="232" t="s">
        <v>170</v>
      </c>
      <c r="B69" s="233"/>
      <c r="C69" s="234"/>
      <c r="D69" s="234"/>
      <c r="E69" s="148"/>
      <c r="F69" s="148"/>
      <c r="G69" s="148"/>
      <c r="H69" s="148"/>
      <c r="I69" s="148"/>
      <c r="J69" s="148"/>
      <c r="K69" s="148"/>
      <c r="L69" s="149"/>
      <c r="M69" s="148"/>
      <c r="N69" s="116"/>
      <c r="O69" s="116"/>
      <c r="P69" s="116"/>
    </row>
    <row r="70" spans="1:16" ht="13.5" hidden="1" thickBot="1">
      <c r="A70" s="232" t="s">
        <v>171</v>
      </c>
      <c r="B70" s="233"/>
      <c r="C70" s="234"/>
      <c r="D70" s="234"/>
      <c r="E70" s="148"/>
      <c r="F70" s="148"/>
      <c r="G70" s="148"/>
      <c r="H70" s="148"/>
      <c r="I70" s="148"/>
      <c r="J70" s="148"/>
      <c r="K70" s="148"/>
      <c r="L70" s="149"/>
      <c r="M70" s="148"/>
      <c r="N70" s="116"/>
      <c r="O70" s="116"/>
      <c r="P70" s="116"/>
    </row>
    <row r="71" spans="1:16" ht="13.5" hidden="1" thickBot="1">
      <c r="A71" s="232" t="s">
        <v>172</v>
      </c>
      <c r="B71" s="233"/>
      <c r="C71" s="234"/>
      <c r="D71" s="234"/>
      <c r="E71" s="148"/>
      <c r="F71" s="148"/>
      <c r="G71" s="148"/>
      <c r="H71" s="148"/>
      <c r="I71" s="148"/>
      <c r="J71" s="148"/>
      <c r="K71" s="148"/>
      <c r="L71" s="149"/>
      <c r="M71" s="148"/>
      <c r="N71" s="116"/>
      <c r="O71" s="116"/>
      <c r="P71" s="116"/>
    </row>
    <row r="72" spans="1:16" ht="13.5" hidden="1" thickBot="1">
      <c r="A72" s="232" t="s">
        <v>173</v>
      </c>
      <c r="B72" s="233"/>
      <c r="C72" s="234"/>
      <c r="D72" s="234"/>
      <c r="E72" s="148"/>
      <c r="F72" s="148"/>
      <c r="G72" s="148"/>
      <c r="H72" s="148"/>
      <c r="I72" s="148"/>
      <c r="J72" s="148"/>
      <c r="K72" s="148"/>
      <c r="L72" s="149"/>
      <c r="M72" s="148"/>
      <c r="N72" s="116"/>
      <c r="O72" s="116"/>
      <c r="P72" s="116"/>
    </row>
    <row r="73" spans="1:16" ht="13.5" hidden="1" thickBot="1">
      <c r="A73" s="232" t="s">
        <v>174</v>
      </c>
      <c r="B73" s="233"/>
      <c r="C73" s="234"/>
      <c r="D73" s="234"/>
      <c r="E73" s="148"/>
      <c r="F73" s="148"/>
      <c r="G73" s="148"/>
      <c r="H73" s="148"/>
      <c r="I73" s="148"/>
      <c r="J73" s="148"/>
      <c r="K73" s="148"/>
      <c r="L73" s="149"/>
      <c r="M73" s="148"/>
      <c r="N73" s="116"/>
      <c r="O73" s="116"/>
      <c r="P73" s="116"/>
    </row>
    <row r="74" spans="1:16" ht="13.5" hidden="1" thickBot="1">
      <c r="A74" s="232" t="s">
        <v>175</v>
      </c>
      <c r="B74" s="233"/>
      <c r="C74" s="234"/>
      <c r="D74" s="234"/>
      <c r="E74" s="148"/>
      <c r="F74" s="148"/>
      <c r="G74" s="148"/>
      <c r="H74" s="148"/>
      <c r="I74" s="148"/>
      <c r="J74" s="148"/>
      <c r="K74" s="148"/>
      <c r="L74" s="149"/>
      <c r="M74" s="148"/>
      <c r="N74" s="116"/>
      <c r="O74" s="116"/>
      <c r="P74" s="116"/>
    </row>
    <row r="75" spans="1:16" ht="13.5" hidden="1" thickBot="1">
      <c r="A75" s="232" t="s">
        <v>176</v>
      </c>
      <c r="B75" s="233"/>
      <c r="C75" s="234"/>
      <c r="D75" s="234"/>
      <c r="E75" s="148"/>
      <c r="F75" s="148"/>
      <c r="G75" s="148"/>
      <c r="H75" s="148"/>
      <c r="I75" s="148"/>
      <c r="J75" s="148"/>
      <c r="K75" s="148"/>
      <c r="L75" s="149"/>
      <c r="M75" s="148"/>
      <c r="N75" s="116"/>
      <c r="O75" s="116"/>
      <c r="P75" s="116"/>
    </row>
    <row r="76" spans="1:16" ht="13.5" hidden="1" thickBot="1">
      <c r="A76" s="232" t="s">
        <v>177</v>
      </c>
      <c r="B76" s="233"/>
      <c r="C76" s="234"/>
      <c r="D76" s="234"/>
      <c r="E76" s="148"/>
      <c r="F76" s="148"/>
      <c r="G76" s="148"/>
      <c r="H76" s="148"/>
      <c r="I76" s="148"/>
      <c r="J76" s="148"/>
      <c r="K76" s="148"/>
      <c r="L76" s="149"/>
      <c r="M76" s="148"/>
      <c r="N76" s="116"/>
      <c r="O76" s="116"/>
      <c r="P76" s="116"/>
    </row>
    <row r="77" spans="1:16" ht="13.5" hidden="1" thickBot="1">
      <c r="A77" s="232" t="s">
        <v>178</v>
      </c>
      <c r="B77" s="233"/>
      <c r="C77" s="234"/>
      <c r="D77" s="234"/>
      <c r="E77" s="148"/>
      <c r="F77" s="148"/>
      <c r="G77" s="148"/>
      <c r="H77" s="148"/>
      <c r="I77" s="148"/>
      <c r="J77" s="148"/>
      <c r="K77" s="148"/>
      <c r="L77" s="149"/>
      <c r="M77" s="148"/>
      <c r="N77" s="116"/>
      <c r="O77" s="116"/>
      <c r="P77" s="116"/>
    </row>
    <row r="78" spans="1:16" ht="13.5" hidden="1" thickBot="1">
      <c r="A78" s="232" t="s">
        <v>179</v>
      </c>
      <c r="B78" s="233"/>
      <c r="C78" s="234"/>
      <c r="D78" s="234"/>
      <c r="E78" s="148"/>
      <c r="F78" s="148"/>
      <c r="G78" s="148"/>
      <c r="H78" s="148"/>
      <c r="I78" s="148"/>
      <c r="J78" s="148"/>
      <c r="K78" s="148"/>
      <c r="L78" s="149"/>
      <c r="M78" s="148"/>
      <c r="N78" s="116"/>
      <c r="O78" s="116"/>
      <c r="P78" s="116"/>
    </row>
    <row r="79" spans="1:16" ht="13.5" hidden="1" thickBot="1">
      <c r="A79" s="232" t="s">
        <v>180</v>
      </c>
      <c r="B79" s="233"/>
      <c r="C79" s="234"/>
      <c r="D79" s="234"/>
      <c r="E79" s="148"/>
      <c r="F79" s="148"/>
      <c r="G79" s="148"/>
      <c r="H79" s="148"/>
      <c r="I79" s="148"/>
      <c r="J79" s="148"/>
      <c r="K79" s="148"/>
      <c r="L79" s="149"/>
      <c r="M79" s="148"/>
      <c r="N79" s="116"/>
      <c r="O79" s="116"/>
      <c r="P79" s="116"/>
    </row>
    <row r="80" spans="1:16" ht="13.5" hidden="1" thickBot="1">
      <c r="A80" s="232" t="s">
        <v>181</v>
      </c>
      <c r="B80" s="233"/>
      <c r="C80" s="234"/>
      <c r="D80" s="234"/>
      <c r="E80" s="148"/>
      <c r="F80" s="148"/>
      <c r="G80" s="148"/>
      <c r="H80" s="148"/>
      <c r="I80" s="148"/>
      <c r="J80" s="148"/>
      <c r="K80" s="148"/>
      <c r="L80" s="149"/>
      <c r="M80" s="148"/>
      <c r="N80" s="116"/>
      <c r="O80" s="116"/>
      <c r="P80" s="116"/>
    </row>
    <row r="81" spans="1:16" ht="13.5" hidden="1" thickBot="1">
      <c r="A81" s="232" t="s">
        <v>182</v>
      </c>
      <c r="B81" s="233"/>
      <c r="C81" s="234"/>
      <c r="D81" s="234"/>
      <c r="E81" s="148"/>
      <c r="F81" s="148"/>
      <c r="G81" s="148"/>
      <c r="H81" s="148"/>
      <c r="I81" s="148"/>
      <c r="J81" s="148"/>
      <c r="K81" s="148"/>
      <c r="L81" s="149"/>
      <c r="M81" s="148"/>
      <c r="N81" s="116"/>
      <c r="O81" s="116"/>
      <c r="P81" s="116"/>
    </row>
    <row r="82" spans="1:16" ht="13.5" hidden="1" thickBot="1">
      <c r="A82" s="232" t="s">
        <v>183</v>
      </c>
      <c r="B82" s="233"/>
      <c r="C82" s="234"/>
      <c r="D82" s="234"/>
      <c r="E82" s="148"/>
      <c r="F82" s="148"/>
      <c r="G82" s="148"/>
      <c r="H82" s="148"/>
      <c r="I82" s="148"/>
      <c r="J82" s="148"/>
      <c r="K82" s="148"/>
      <c r="L82" s="149"/>
      <c r="M82" s="148"/>
      <c r="N82" s="116"/>
      <c r="O82" s="116"/>
      <c r="P82" s="116"/>
    </row>
    <row r="83" spans="1:16" ht="13.5" hidden="1" thickBot="1">
      <c r="A83" s="232" t="s">
        <v>184</v>
      </c>
      <c r="B83" s="233"/>
      <c r="C83" s="234"/>
      <c r="D83" s="234"/>
      <c r="E83" s="148"/>
      <c r="F83" s="148"/>
      <c r="G83" s="148"/>
      <c r="H83" s="148"/>
      <c r="I83" s="148"/>
      <c r="J83" s="148"/>
      <c r="K83" s="148"/>
      <c r="L83" s="149"/>
      <c r="M83" s="148"/>
      <c r="N83" s="116"/>
      <c r="O83" s="116"/>
      <c r="P83" s="116"/>
    </row>
    <row r="84" spans="1:16" ht="13.5" hidden="1" thickBot="1">
      <c r="A84" s="232" t="s">
        <v>185</v>
      </c>
      <c r="B84" s="233"/>
      <c r="C84" s="234"/>
      <c r="D84" s="234"/>
      <c r="E84" s="148"/>
      <c r="F84" s="148"/>
      <c r="G84" s="148"/>
      <c r="H84" s="148"/>
      <c r="I84" s="148"/>
      <c r="J84" s="148"/>
      <c r="K84" s="148"/>
      <c r="L84" s="149"/>
      <c r="M84" s="148"/>
      <c r="N84" s="116"/>
      <c r="O84" s="116"/>
      <c r="P84" s="116"/>
    </row>
    <row r="85" spans="1:16" ht="13.5" hidden="1" thickBot="1">
      <c r="A85" s="232" t="s">
        <v>186</v>
      </c>
      <c r="B85" s="233"/>
      <c r="C85" s="234"/>
      <c r="D85" s="234"/>
      <c r="E85" s="148"/>
      <c r="F85" s="148"/>
      <c r="G85" s="148"/>
      <c r="H85" s="148"/>
      <c r="I85" s="148"/>
      <c r="J85" s="148"/>
      <c r="K85" s="148"/>
      <c r="L85" s="149"/>
      <c r="M85" s="148"/>
      <c r="N85" s="116"/>
      <c r="O85" s="116"/>
      <c r="P85" s="116"/>
    </row>
    <row r="86" spans="1:16" ht="13.5" hidden="1" thickBot="1">
      <c r="A86" s="232" t="s">
        <v>187</v>
      </c>
      <c r="B86" s="233"/>
      <c r="C86" s="234"/>
      <c r="D86" s="234"/>
      <c r="E86" s="148"/>
      <c r="F86" s="148"/>
      <c r="G86" s="148"/>
      <c r="H86" s="148"/>
      <c r="I86" s="148"/>
      <c r="J86" s="148"/>
      <c r="K86" s="148"/>
      <c r="L86" s="149"/>
      <c r="M86" s="148"/>
      <c r="N86" s="116"/>
      <c r="O86" s="116"/>
      <c r="P86" s="116"/>
    </row>
    <row r="87" spans="1:16" ht="13.5" hidden="1" thickBot="1">
      <c r="A87" s="232" t="s">
        <v>188</v>
      </c>
      <c r="B87" s="233"/>
      <c r="C87" s="234"/>
      <c r="D87" s="234"/>
      <c r="E87" s="148"/>
      <c r="F87" s="148"/>
      <c r="G87" s="148"/>
      <c r="H87" s="148"/>
      <c r="I87" s="148"/>
      <c r="J87" s="148"/>
      <c r="K87" s="148"/>
      <c r="L87" s="149"/>
      <c r="M87" s="148"/>
      <c r="N87" s="116"/>
      <c r="O87" s="116"/>
      <c r="P87" s="116"/>
    </row>
    <row r="88" spans="1:16" ht="13.5" hidden="1" thickBot="1">
      <c r="A88" s="232" t="s">
        <v>189</v>
      </c>
      <c r="B88" s="233"/>
      <c r="C88" s="234"/>
      <c r="D88" s="234"/>
      <c r="E88" s="148"/>
      <c r="F88" s="148"/>
      <c r="G88" s="148"/>
      <c r="H88" s="148"/>
      <c r="I88" s="148"/>
      <c r="J88" s="148"/>
      <c r="K88" s="148"/>
      <c r="L88" s="149"/>
      <c r="M88" s="148"/>
      <c r="N88" s="116"/>
      <c r="O88" s="116"/>
      <c r="P88" s="116"/>
    </row>
    <row r="89" spans="1:16" ht="13.5" hidden="1" thickBot="1">
      <c r="A89" s="232" t="s">
        <v>190</v>
      </c>
      <c r="B89" s="233"/>
      <c r="C89" s="234"/>
      <c r="D89" s="234"/>
      <c r="E89" s="148"/>
      <c r="F89" s="148"/>
      <c r="G89" s="148"/>
      <c r="H89" s="148"/>
      <c r="I89" s="148"/>
      <c r="J89" s="148"/>
      <c r="K89" s="148"/>
      <c r="L89" s="149"/>
      <c r="M89" s="148"/>
      <c r="N89" s="116"/>
      <c r="O89" s="116"/>
      <c r="P89" s="116"/>
    </row>
    <row r="90" spans="1:16" ht="13.5" hidden="1" thickBot="1">
      <c r="A90" s="232" t="s">
        <v>191</v>
      </c>
      <c r="B90" s="233"/>
      <c r="C90" s="234"/>
      <c r="D90" s="234"/>
      <c r="E90" s="148"/>
      <c r="F90" s="148"/>
      <c r="G90" s="148"/>
      <c r="H90" s="148"/>
      <c r="I90" s="148"/>
      <c r="J90" s="148"/>
      <c r="K90" s="148"/>
      <c r="L90" s="149"/>
      <c r="M90" s="148"/>
      <c r="N90" s="116"/>
      <c r="O90" s="116"/>
      <c r="P90" s="116"/>
    </row>
    <row r="91" spans="1:16" ht="13.5" hidden="1" thickBot="1">
      <c r="A91" s="232" t="s">
        <v>192</v>
      </c>
      <c r="B91" s="233"/>
      <c r="C91" s="234"/>
      <c r="D91" s="234"/>
      <c r="E91" s="148"/>
      <c r="F91" s="148"/>
      <c r="G91" s="148"/>
      <c r="H91" s="148"/>
      <c r="I91" s="148"/>
      <c r="J91" s="148"/>
      <c r="K91" s="148"/>
      <c r="L91" s="149"/>
      <c r="M91" s="148"/>
      <c r="N91" s="116"/>
      <c r="O91" s="116"/>
      <c r="P91" s="116"/>
    </row>
    <row r="92" spans="1:16" ht="13.5" hidden="1" thickBot="1">
      <c r="A92" s="232" t="s">
        <v>193</v>
      </c>
      <c r="B92" s="233"/>
      <c r="C92" s="234"/>
      <c r="D92" s="234"/>
      <c r="E92" s="148"/>
      <c r="F92" s="148"/>
      <c r="G92" s="148"/>
      <c r="H92" s="148"/>
      <c r="I92" s="148"/>
      <c r="J92" s="148"/>
      <c r="K92" s="148"/>
      <c r="L92" s="149"/>
      <c r="M92" s="148"/>
      <c r="N92" s="116"/>
      <c r="O92" s="116"/>
      <c r="P92" s="116"/>
    </row>
    <row r="93" spans="1:16" ht="13.5" hidden="1" thickBot="1">
      <c r="A93" s="232" t="s">
        <v>194</v>
      </c>
      <c r="B93" s="233"/>
      <c r="C93" s="234"/>
      <c r="D93" s="234"/>
      <c r="E93" s="148"/>
      <c r="F93" s="148"/>
      <c r="G93" s="148"/>
      <c r="H93" s="148"/>
      <c r="I93" s="148"/>
      <c r="J93" s="148"/>
      <c r="K93" s="148"/>
      <c r="L93" s="149"/>
      <c r="M93" s="148"/>
      <c r="N93" s="116"/>
      <c r="O93" s="116"/>
      <c r="P93" s="116"/>
    </row>
    <row r="94" spans="1:16" ht="13.5" hidden="1" thickBot="1">
      <c r="A94" s="232" t="s">
        <v>195</v>
      </c>
      <c r="B94" s="233"/>
      <c r="C94" s="234"/>
      <c r="D94" s="234"/>
      <c r="E94" s="148"/>
      <c r="F94" s="148"/>
      <c r="G94" s="148"/>
      <c r="H94" s="148"/>
      <c r="I94" s="148"/>
      <c r="J94" s="148"/>
      <c r="K94" s="148"/>
      <c r="L94" s="149"/>
      <c r="M94" s="148"/>
      <c r="N94" s="116"/>
      <c r="O94" s="116"/>
      <c r="P94" s="116"/>
    </row>
    <row r="95" spans="1:16" ht="13.5" hidden="1" thickBot="1">
      <c r="A95" s="232" t="s">
        <v>196</v>
      </c>
      <c r="B95" s="233"/>
      <c r="C95" s="234"/>
      <c r="D95" s="234"/>
      <c r="E95" s="148"/>
      <c r="F95" s="148"/>
      <c r="G95" s="148"/>
      <c r="H95" s="148"/>
      <c r="I95" s="148"/>
      <c r="J95" s="148"/>
      <c r="K95" s="148"/>
      <c r="L95" s="149"/>
      <c r="M95" s="148"/>
      <c r="N95" s="116"/>
      <c r="O95" s="116"/>
      <c r="P95" s="116"/>
    </row>
    <row r="96" spans="1:16" ht="13.5" hidden="1" thickBot="1">
      <c r="A96" s="232" t="s">
        <v>197</v>
      </c>
      <c r="B96" s="233"/>
      <c r="C96" s="234"/>
      <c r="D96" s="234"/>
      <c r="E96" s="148"/>
      <c r="F96" s="148"/>
      <c r="G96" s="148"/>
      <c r="H96" s="148"/>
      <c r="I96" s="148"/>
      <c r="J96" s="148"/>
      <c r="K96" s="148"/>
      <c r="L96" s="149"/>
      <c r="M96" s="148"/>
      <c r="N96" s="116"/>
      <c r="O96" s="116"/>
      <c r="P96" s="116"/>
    </row>
    <row r="97" spans="1:16" ht="13.5" hidden="1" thickBot="1">
      <c r="A97" s="232" t="s">
        <v>198</v>
      </c>
      <c r="B97" s="233"/>
      <c r="C97" s="234"/>
      <c r="D97" s="234"/>
      <c r="E97" s="148"/>
      <c r="F97" s="148"/>
      <c r="G97" s="148"/>
      <c r="H97" s="148"/>
      <c r="I97" s="148"/>
      <c r="J97" s="148"/>
      <c r="K97" s="148"/>
      <c r="L97" s="149"/>
      <c r="M97" s="148"/>
      <c r="N97" s="116"/>
      <c r="O97" s="116"/>
      <c r="P97" s="116"/>
    </row>
    <row r="98" spans="1:16" ht="13.5" hidden="1" thickBot="1">
      <c r="A98" s="232" t="s">
        <v>199</v>
      </c>
      <c r="B98" s="233"/>
      <c r="C98" s="234"/>
      <c r="D98" s="234"/>
      <c r="E98" s="148"/>
      <c r="F98" s="148"/>
      <c r="G98" s="148"/>
      <c r="H98" s="148"/>
      <c r="I98" s="148"/>
      <c r="J98" s="148"/>
      <c r="K98" s="148"/>
      <c r="L98" s="149"/>
      <c r="M98" s="148"/>
      <c r="N98" s="116"/>
      <c r="O98" s="116"/>
      <c r="P98" s="116"/>
    </row>
    <row r="99" spans="1:16" ht="13.5" hidden="1" thickBot="1">
      <c r="A99" s="232" t="s">
        <v>200</v>
      </c>
      <c r="B99" s="233"/>
      <c r="C99" s="234"/>
      <c r="D99" s="234"/>
      <c r="E99" s="148"/>
      <c r="F99" s="148"/>
      <c r="G99" s="148"/>
      <c r="H99" s="148"/>
      <c r="I99" s="148"/>
      <c r="J99" s="148"/>
      <c r="K99" s="148"/>
      <c r="L99" s="149"/>
      <c r="M99" s="148"/>
      <c r="N99" s="116"/>
      <c r="O99" s="116"/>
      <c r="P99" s="116"/>
    </row>
    <row r="100" spans="1:16" ht="13.5" hidden="1" thickBot="1">
      <c r="A100" s="232" t="s">
        <v>201</v>
      </c>
      <c r="B100" s="233"/>
      <c r="C100" s="234"/>
      <c r="D100" s="234"/>
      <c r="E100" s="148"/>
      <c r="F100" s="148"/>
      <c r="G100" s="148"/>
      <c r="H100" s="148"/>
      <c r="I100" s="148"/>
      <c r="J100" s="148"/>
      <c r="K100" s="148"/>
      <c r="L100" s="149"/>
      <c r="M100" s="148"/>
      <c r="N100" s="116"/>
      <c r="O100" s="116"/>
      <c r="P100" s="116"/>
    </row>
    <row r="101" spans="1:16" ht="13.5" hidden="1" thickBot="1">
      <c r="A101" s="232" t="s">
        <v>202</v>
      </c>
      <c r="B101" s="233"/>
      <c r="C101" s="234"/>
      <c r="D101" s="234"/>
      <c r="E101" s="148"/>
      <c r="F101" s="148"/>
      <c r="G101" s="148"/>
      <c r="H101" s="148"/>
      <c r="I101" s="148"/>
      <c r="J101" s="148"/>
      <c r="K101" s="148"/>
      <c r="L101" s="149"/>
      <c r="M101" s="148"/>
      <c r="N101" s="116"/>
      <c r="O101" s="116"/>
      <c r="P101" s="116"/>
    </row>
    <row r="102" spans="1:16" ht="13.5" hidden="1" thickBot="1">
      <c r="A102" s="232" t="s">
        <v>203</v>
      </c>
      <c r="B102" s="233"/>
      <c r="C102" s="234"/>
      <c r="D102" s="234"/>
      <c r="E102" s="148"/>
      <c r="F102" s="148"/>
      <c r="G102" s="148"/>
      <c r="H102" s="148"/>
      <c r="I102" s="148"/>
      <c r="J102" s="148"/>
      <c r="K102" s="148"/>
      <c r="L102" s="149"/>
      <c r="M102" s="148"/>
      <c r="N102" s="116"/>
      <c r="O102" s="116"/>
      <c r="P102" s="116"/>
    </row>
    <row r="103" spans="1:16" ht="13.5" hidden="1" thickBot="1">
      <c r="A103" s="232" t="s">
        <v>204</v>
      </c>
      <c r="B103" s="233"/>
      <c r="C103" s="234"/>
      <c r="D103" s="234"/>
      <c r="E103" s="148"/>
      <c r="F103" s="148"/>
      <c r="G103" s="148"/>
      <c r="H103" s="148"/>
      <c r="I103" s="148"/>
      <c r="J103" s="148"/>
      <c r="K103" s="148"/>
      <c r="L103" s="149"/>
      <c r="M103" s="148"/>
      <c r="N103" s="116"/>
      <c r="O103" s="116"/>
      <c r="P103" s="116"/>
    </row>
    <row r="104" spans="1:16" ht="13.5" hidden="1" thickBot="1">
      <c r="A104" s="232" t="s">
        <v>205</v>
      </c>
      <c r="B104" s="233"/>
      <c r="C104" s="234"/>
      <c r="D104" s="234"/>
      <c r="E104" s="148"/>
      <c r="F104" s="148"/>
      <c r="G104" s="148"/>
      <c r="H104" s="148"/>
      <c r="I104" s="148"/>
      <c r="J104" s="148"/>
      <c r="K104" s="148"/>
      <c r="L104" s="149"/>
      <c r="M104" s="148"/>
      <c r="N104" s="116"/>
      <c r="O104" s="116"/>
      <c r="P104" s="116"/>
    </row>
    <row r="105" spans="1:16" ht="13.5" hidden="1" thickBot="1">
      <c r="A105" s="232" t="s">
        <v>206</v>
      </c>
      <c r="B105" s="233"/>
      <c r="C105" s="234"/>
      <c r="D105" s="234"/>
      <c r="E105" s="148"/>
      <c r="F105" s="148"/>
      <c r="G105" s="148"/>
      <c r="H105" s="148"/>
      <c r="I105" s="148"/>
      <c r="J105" s="148"/>
      <c r="K105" s="148"/>
      <c r="L105" s="149"/>
      <c r="M105" s="148"/>
      <c r="N105" s="116"/>
      <c r="O105" s="116"/>
      <c r="P105" s="116"/>
    </row>
    <row r="106" spans="1:16" ht="13.5" hidden="1" thickBot="1">
      <c r="A106" s="232" t="s">
        <v>207</v>
      </c>
      <c r="B106" s="233"/>
      <c r="C106" s="234"/>
      <c r="D106" s="234"/>
      <c r="E106" s="148"/>
      <c r="F106" s="148"/>
      <c r="G106" s="148"/>
      <c r="H106" s="148"/>
      <c r="I106" s="148"/>
      <c r="J106" s="148"/>
      <c r="K106" s="148"/>
      <c r="L106" s="149"/>
      <c r="M106" s="148"/>
      <c r="N106" s="116"/>
      <c r="O106" s="116"/>
      <c r="P106" s="116"/>
    </row>
    <row r="107" spans="1:16" ht="13.5" hidden="1" thickBot="1">
      <c r="A107" s="232" t="s">
        <v>208</v>
      </c>
      <c r="B107" s="233"/>
      <c r="C107" s="234"/>
      <c r="D107" s="234"/>
      <c r="E107" s="148"/>
      <c r="F107" s="148"/>
      <c r="G107" s="148"/>
      <c r="H107" s="148"/>
      <c r="I107" s="148"/>
      <c r="J107" s="148"/>
      <c r="K107" s="148"/>
      <c r="L107" s="149"/>
      <c r="M107" s="148"/>
      <c r="N107" s="116"/>
      <c r="O107" s="116"/>
      <c r="P107" s="116"/>
    </row>
    <row r="108" spans="1:16" ht="13.5" hidden="1" thickBot="1">
      <c r="A108" s="232" t="s">
        <v>209</v>
      </c>
      <c r="B108" s="233"/>
      <c r="C108" s="234"/>
      <c r="D108" s="234"/>
      <c r="E108" s="148"/>
      <c r="F108" s="148"/>
      <c r="G108" s="148"/>
      <c r="H108" s="148"/>
      <c r="I108" s="148"/>
      <c r="J108" s="148"/>
      <c r="K108" s="148"/>
      <c r="L108" s="149"/>
      <c r="M108" s="148"/>
      <c r="N108" s="116"/>
      <c r="O108" s="116"/>
      <c r="P108" s="116"/>
    </row>
    <row r="109" spans="1:16" ht="13.5" hidden="1" thickBot="1">
      <c r="A109" s="232" t="s">
        <v>210</v>
      </c>
      <c r="B109" s="233"/>
      <c r="C109" s="234"/>
      <c r="D109" s="234"/>
      <c r="E109" s="148"/>
      <c r="F109" s="148"/>
      <c r="G109" s="148"/>
      <c r="H109" s="148"/>
      <c r="I109" s="148"/>
      <c r="J109" s="148"/>
      <c r="K109" s="148"/>
      <c r="L109" s="149"/>
      <c r="M109" s="148"/>
      <c r="N109" s="116"/>
      <c r="O109" s="116"/>
      <c r="P109" s="116"/>
    </row>
    <row r="110" spans="1:16" ht="13.5" hidden="1" thickBot="1">
      <c r="A110" s="232" t="s">
        <v>211</v>
      </c>
      <c r="B110" s="233"/>
      <c r="C110" s="234"/>
      <c r="D110" s="234"/>
      <c r="E110" s="148"/>
      <c r="F110" s="148"/>
      <c r="G110" s="148"/>
      <c r="H110" s="148"/>
      <c r="I110" s="148"/>
      <c r="J110" s="148"/>
      <c r="K110" s="148"/>
      <c r="L110" s="149"/>
      <c r="M110" s="148"/>
      <c r="N110" s="116"/>
      <c r="O110" s="116"/>
      <c r="P110" s="116"/>
    </row>
    <row r="111" spans="1:16" ht="13.5" hidden="1" thickBot="1">
      <c r="A111" s="232" t="s">
        <v>212</v>
      </c>
      <c r="B111" s="233"/>
      <c r="C111" s="234"/>
      <c r="D111" s="234"/>
      <c r="E111" s="148"/>
      <c r="F111" s="148"/>
      <c r="G111" s="148"/>
      <c r="H111" s="148"/>
      <c r="I111" s="148"/>
      <c r="J111" s="148"/>
      <c r="K111" s="148"/>
      <c r="L111" s="149"/>
      <c r="M111" s="148"/>
      <c r="N111" s="116"/>
      <c r="O111" s="116"/>
      <c r="P111" s="116"/>
    </row>
    <row r="112" spans="1:16" ht="13.5" hidden="1" thickBot="1">
      <c r="A112" s="232" t="s">
        <v>213</v>
      </c>
      <c r="B112" s="233"/>
      <c r="C112" s="234"/>
      <c r="D112" s="234"/>
      <c r="E112" s="148"/>
      <c r="F112" s="148"/>
      <c r="G112" s="148"/>
      <c r="H112" s="148"/>
      <c r="I112" s="148"/>
      <c r="J112" s="148"/>
      <c r="K112" s="148"/>
      <c r="L112" s="149"/>
      <c r="M112" s="148"/>
      <c r="N112" s="116"/>
      <c r="O112" s="116"/>
      <c r="P112" s="116"/>
    </row>
    <row r="113" spans="1:16" ht="13.5" hidden="1" thickBot="1">
      <c r="A113" s="232" t="s">
        <v>214</v>
      </c>
      <c r="B113" s="233"/>
      <c r="C113" s="234"/>
      <c r="D113" s="234"/>
      <c r="E113" s="148"/>
      <c r="F113" s="148"/>
      <c r="G113" s="148"/>
      <c r="H113" s="148"/>
      <c r="I113" s="148"/>
      <c r="J113" s="148"/>
      <c r="K113" s="148"/>
      <c r="L113" s="149"/>
      <c r="M113" s="148"/>
      <c r="N113" s="116"/>
      <c r="O113" s="116"/>
      <c r="P113" s="116"/>
    </row>
    <row r="114" spans="1:16" ht="13.5" hidden="1" thickBot="1">
      <c r="A114" s="232" t="s">
        <v>215</v>
      </c>
      <c r="B114" s="233"/>
      <c r="C114" s="234"/>
      <c r="D114" s="234"/>
      <c r="E114" s="148"/>
      <c r="F114" s="148"/>
      <c r="G114" s="148"/>
      <c r="H114" s="148"/>
      <c r="I114" s="148"/>
      <c r="J114" s="148"/>
      <c r="K114" s="148"/>
      <c r="L114" s="149"/>
      <c r="M114" s="148"/>
      <c r="N114" s="116"/>
      <c r="O114" s="116"/>
      <c r="P114" s="116"/>
    </row>
    <row r="115" spans="1:16" ht="13.5" hidden="1" thickBot="1">
      <c r="A115" s="232" t="s">
        <v>216</v>
      </c>
      <c r="B115" s="233"/>
      <c r="C115" s="234"/>
      <c r="D115" s="234"/>
      <c r="E115" s="148"/>
      <c r="F115" s="148"/>
      <c r="G115" s="148"/>
      <c r="H115" s="148"/>
      <c r="I115" s="148"/>
      <c r="J115" s="148"/>
      <c r="K115" s="148"/>
      <c r="L115" s="149"/>
      <c r="M115" s="148"/>
      <c r="N115" s="116"/>
      <c r="O115" s="116"/>
      <c r="P115" s="116"/>
    </row>
    <row r="116" spans="1:16" ht="13.5" hidden="1" thickBot="1">
      <c r="A116" s="232" t="s">
        <v>217</v>
      </c>
      <c r="B116" s="233"/>
      <c r="C116" s="234"/>
      <c r="D116" s="234"/>
      <c r="E116" s="148"/>
      <c r="F116" s="148"/>
      <c r="G116" s="148"/>
      <c r="H116" s="148"/>
      <c r="I116" s="148"/>
      <c r="J116" s="148"/>
      <c r="K116" s="148"/>
      <c r="L116" s="149"/>
      <c r="M116" s="148"/>
      <c r="N116" s="116"/>
      <c r="O116" s="116"/>
      <c r="P116" s="116"/>
    </row>
    <row r="117" spans="1:16" ht="13.5" hidden="1" thickBot="1">
      <c r="A117" s="232" t="s">
        <v>218</v>
      </c>
      <c r="B117" s="233"/>
      <c r="C117" s="234"/>
      <c r="D117" s="234"/>
      <c r="E117" s="148"/>
      <c r="F117" s="148"/>
      <c r="G117" s="148"/>
      <c r="H117" s="148"/>
      <c r="I117" s="148"/>
      <c r="J117" s="148"/>
      <c r="K117" s="148"/>
      <c r="L117" s="149"/>
      <c r="M117" s="148"/>
      <c r="N117" s="116"/>
      <c r="O117" s="116"/>
      <c r="P117" s="116"/>
    </row>
    <row r="118" spans="1:16" ht="13.5" hidden="1" thickBot="1">
      <c r="A118" s="232" t="s">
        <v>219</v>
      </c>
      <c r="B118" s="233"/>
      <c r="C118" s="234"/>
      <c r="D118" s="234"/>
      <c r="E118" s="148"/>
      <c r="F118" s="148"/>
      <c r="G118" s="148"/>
      <c r="H118" s="148"/>
      <c r="I118" s="148"/>
      <c r="J118" s="148"/>
      <c r="K118" s="148"/>
      <c r="L118" s="149"/>
      <c r="M118" s="148"/>
      <c r="N118" s="116"/>
      <c r="O118" s="116"/>
      <c r="P118" s="116"/>
    </row>
    <row r="119" spans="1:16" ht="13.5" hidden="1" thickBot="1">
      <c r="A119" s="232" t="s">
        <v>220</v>
      </c>
      <c r="B119" s="233"/>
      <c r="C119" s="234"/>
      <c r="D119" s="234"/>
      <c r="E119" s="148"/>
      <c r="F119" s="148"/>
      <c r="G119" s="148"/>
      <c r="H119" s="148"/>
      <c r="I119" s="148"/>
      <c r="J119" s="148"/>
      <c r="K119" s="148"/>
      <c r="L119" s="149"/>
      <c r="M119" s="148"/>
      <c r="N119" s="116"/>
      <c r="O119" s="116"/>
      <c r="P119" s="116"/>
    </row>
    <row r="120" spans="1:16" ht="13.5" hidden="1" thickBot="1">
      <c r="A120" s="232" t="s">
        <v>221</v>
      </c>
      <c r="B120" s="233"/>
      <c r="C120" s="234"/>
      <c r="D120" s="234"/>
      <c r="E120" s="148"/>
      <c r="F120" s="148"/>
      <c r="G120" s="148"/>
      <c r="H120" s="148"/>
      <c r="I120" s="148"/>
      <c r="J120" s="148"/>
      <c r="K120" s="148"/>
      <c r="L120" s="149"/>
      <c r="M120" s="148"/>
      <c r="N120" s="116"/>
      <c r="O120" s="116"/>
      <c r="P120" s="116"/>
    </row>
    <row r="121" spans="1:16" ht="13.5" hidden="1" thickBot="1">
      <c r="A121" s="232" t="s">
        <v>222</v>
      </c>
      <c r="B121" s="233"/>
      <c r="C121" s="234"/>
      <c r="D121" s="234"/>
      <c r="E121" s="148"/>
      <c r="F121" s="148"/>
      <c r="G121" s="148"/>
      <c r="H121" s="148"/>
      <c r="I121" s="148"/>
      <c r="J121" s="148"/>
      <c r="K121" s="148"/>
      <c r="L121" s="149"/>
      <c r="M121" s="148"/>
      <c r="N121" s="116"/>
      <c r="O121" s="116"/>
      <c r="P121" s="116"/>
    </row>
    <row r="122" spans="1:16" ht="13.5" hidden="1" thickBot="1">
      <c r="A122" s="232" t="s">
        <v>223</v>
      </c>
      <c r="B122" s="233"/>
      <c r="C122" s="234"/>
      <c r="D122" s="234"/>
      <c r="E122" s="148"/>
      <c r="F122" s="148"/>
      <c r="G122" s="148"/>
      <c r="H122" s="148"/>
      <c r="I122" s="148"/>
      <c r="J122" s="148"/>
      <c r="K122" s="148"/>
      <c r="L122" s="149"/>
      <c r="M122" s="148"/>
      <c r="N122" s="116"/>
      <c r="O122" s="116"/>
      <c r="P122" s="116"/>
    </row>
    <row r="123" spans="1:16" ht="13.5" hidden="1" thickBot="1">
      <c r="A123" s="232" t="s">
        <v>224</v>
      </c>
      <c r="B123" s="233"/>
      <c r="C123" s="234"/>
      <c r="D123" s="234"/>
      <c r="E123" s="148"/>
      <c r="F123" s="148"/>
      <c r="G123" s="148"/>
      <c r="H123" s="148"/>
      <c r="I123" s="148"/>
      <c r="J123" s="148"/>
      <c r="K123" s="148"/>
      <c r="L123" s="149"/>
      <c r="M123" s="148"/>
      <c r="N123" s="116"/>
      <c r="O123" s="116"/>
      <c r="P123" s="116"/>
    </row>
    <row r="124" spans="1:16" ht="13.5" hidden="1" thickBot="1">
      <c r="A124" s="232" t="s">
        <v>225</v>
      </c>
      <c r="B124" s="233"/>
      <c r="C124" s="234"/>
      <c r="D124" s="234"/>
      <c r="E124" s="148"/>
      <c r="F124" s="148"/>
      <c r="G124" s="148"/>
      <c r="H124" s="148"/>
      <c r="I124" s="148"/>
      <c r="J124" s="148"/>
      <c r="K124" s="148"/>
      <c r="L124" s="149"/>
      <c r="M124" s="148"/>
      <c r="N124" s="116"/>
      <c r="O124" s="116"/>
      <c r="P124" s="116"/>
    </row>
    <row r="125" spans="1:16" ht="13.5" hidden="1" thickBot="1">
      <c r="A125" s="232" t="s">
        <v>226</v>
      </c>
      <c r="B125" s="233"/>
      <c r="C125" s="234"/>
      <c r="D125" s="234"/>
      <c r="E125" s="148"/>
      <c r="F125" s="148"/>
      <c r="G125" s="148"/>
      <c r="H125" s="148"/>
      <c r="I125" s="148"/>
      <c r="J125" s="148"/>
      <c r="K125" s="148"/>
      <c r="L125" s="149"/>
      <c r="M125" s="148"/>
      <c r="N125" s="116"/>
      <c r="O125" s="116"/>
      <c r="P125" s="116"/>
    </row>
    <row r="126" spans="1:16" ht="13.5" hidden="1" thickBot="1">
      <c r="A126" s="232" t="s">
        <v>227</v>
      </c>
      <c r="B126" s="233"/>
      <c r="C126" s="234"/>
      <c r="D126" s="234"/>
      <c r="E126" s="148"/>
      <c r="F126" s="148"/>
      <c r="G126" s="148"/>
      <c r="H126" s="148"/>
      <c r="I126" s="148"/>
      <c r="J126" s="148"/>
      <c r="K126" s="148"/>
      <c r="L126" s="149"/>
      <c r="M126" s="148"/>
      <c r="N126" s="116"/>
      <c r="O126" s="116"/>
      <c r="P126" s="116"/>
    </row>
    <row r="127" spans="1:16" ht="13.5" hidden="1" thickBot="1">
      <c r="A127" s="232" t="s">
        <v>228</v>
      </c>
      <c r="B127" s="233"/>
      <c r="C127" s="234"/>
      <c r="D127" s="234"/>
      <c r="E127" s="148"/>
      <c r="F127" s="148"/>
      <c r="G127" s="148"/>
      <c r="H127" s="148"/>
      <c r="I127" s="148"/>
      <c r="J127" s="148"/>
      <c r="K127" s="148"/>
      <c r="L127" s="149"/>
      <c r="M127" s="148"/>
      <c r="N127" s="116"/>
      <c r="O127" s="116"/>
      <c r="P127" s="116"/>
    </row>
    <row r="128" spans="1:16" ht="13.5" hidden="1" thickBot="1">
      <c r="A128" s="232" t="s">
        <v>229</v>
      </c>
      <c r="B128" s="233"/>
      <c r="C128" s="234"/>
      <c r="D128" s="234"/>
      <c r="E128" s="148"/>
      <c r="F128" s="148"/>
      <c r="G128" s="148"/>
      <c r="H128" s="148"/>
      <c r="I128" s="148"/>
      <c r="J128" s="148"/>
      <c r="K128" s="148"/>
      <c r="L128" s="149"/>
      <c r="M128" s="148"/>
      <c r="N128" s="116"/>
      <c r="O128" s="116"/>
      <c r="P128" s="116"/>
    </row>
    <row r="129" spans="1:16" ht="13.5" hidden="1" thickBot="1">
      <c r="A129" s="232" t="s">
        <v>230</v>
      </c>
      <c r="B129" s="233"/>
      <c r="C129" s="234"/>
      <c r="D129" s="234"/>
      <c r="E129" s="148"/>
      <c r="F129" s="148"/>
      <c r="G129" s="148"/>
      <c r="H129" s="148"/>
      <c r="I129" s="148"/>
      <c r="J129" s="148"/>
      <c r="K129" s="148"/>
      <c r="L129" s="149"/>
      <c r="M129" s="148"/>
      <c r="N129" s="116"/>
      <c r="O129" s="116"/>
      <c r="P129" s="116"/>
    </row>
    <row r="130" spans="1:16" ht="13.5" hidden="1" thickBot="1">
      <c r="A130" s="232" t="s">
        <v>231</v>
      </c>
      <c r="B130" s="233"/>
      <c r="C130" s="234"/>
      <c r="D130" s="234"/>
      <c r="E130" s="148"/>
      <c r="F130" s="148"/>
      <c r="G130" s="148"/>
      <c r="H130" s="148"/>
      <c r="I130" s="148"/>
      <c r="J130" s="148"/>
      <c r="K130" s="148"/>
      <c r="L130" s="149"/>
      <c r="M130" s="148"/>
      <c r="N130" s="116"/>
      <c r="O130" s="116"/>
      <c r="P130" s="116"/>
    </row>
    <row r="131" spans="1:16" ht="13.5" hidden="1" thickBot="1">
      <c r="A131" s="232" t="s">
        <v>232</v>
      </c>
      <c r="B131" s="233"/>
      <c r="C131" s="234"/>
      <c r="D131" s="234"/>
      <c r="E131" s="148"/>
      <c r="F131" s="148"/>
      <c r="G131" s="148"/>
      <c r="H131" s="148"/>
      <c r="I131" s="148"/>
      <c r="J131" s="148"/>
      <c r="K131" s="148"/>
      <c r="L131" s="149"/>
      <c r="M131" s="148"/>
      <c r="N131" s="116"/>
      <c r="O131" s="116"/>
      <c r="P131" s="116"/>
    </row>
    <row r="132" spans="1:16" ht="13.5" hidden="1" thickBot="1">
      <c r="A132" s="232" t="s">
        <v>233</v>
      </c>
      <c r="B132" s="233"/>
      <c r="C132" s="234"/>
      <c r="D132" s="234"/>
      <c r="E132" s="148"/>
      <c r="F132" s="148"/>
      <c r="G132" s="148"/>
      <c r="H132" s="148"/>
      <c r="I132" s="148"/>
      <c r="J132" s="148"/>
      <c r="K132" s="148"/>
      <c r="L132" s="149"/>
      <c r="M132" s="148"/>
      <c r="N132" s="116"/>
      <c r="O132" s="116"/>
      <c r="P132" s="116"/>
    </row>
    <row r="133" spans="1:16" ht="13.5" hidden="1" thickBot="1">
      <c r="A133" s="232" t="s">
        <v>234</v>
      </c>
      <c r="B133" s="233"/>
      <c r="C133" s="234"/>
      <c r="D133" s="234"/>
      <c r="E133" s="148"/>
      <c r="F133" s="148"/>
      <c r="G133" s="148"/>
      <c r="H133" s="148"/>
      <c r="I133" s="148"/>
      <c r="J133" s="148"/>
      <c r="K133" s="148"/>
      <c r="L133" s="149"/>
      <c r="M133" s="148"/>
      <c r="N133" s="116"/>
      <c r="O133" s="116"/>
      <c r="P133" s="116"/>
    </row>
    <row r="134" spans="1:16" ht="13.5" hidden="1" thickBot="1">
      <c r="A134" s="232" t="s">
        <v>235</v>
      </c>
      <c r="B134" s="233"/>
      <c r="C134" s="234"/>
      <c r="D134" s="234"/>
      <c r="E134" s="148"/>
      <c r="F134" s="148"/>
      <c r="G134" s="148"/>
      <c r="H134" s="148"/>
      <c r="I134" s="148"/>
      <c r="J134" s="148"/>
      <c r="K134" s="148"/>
      <c r="L134" s="149"/>
      <c r="M134" s="148"/>
      <c r="N134" s="116"/>
      <c r="O134" s="116"/>
      <c r="P134" s="116"/>
    </row>
    <row r="135" spans="1:16" ht="13.5" hidden="1" thickBot="1">
      <c r="A135" s="232" t="s">
        <v>236</v>
      </c>
      <c r="B135" s="233"/>
      <c r="C135" s="234"/>
      <c r="D135" s="234"/>
      <c r="E135" s="148"/>
      <c r="F135" s="148"/>
      <c r="G135" s="148"/>
      <c r="H135" s="148"/>
      <c r="I135" s="148"/>
      <c r="J135" s="148"/>
      <c r="K135" s="148"/>
      <c r="L135" s="149"/>
      <c r="M135" s="148"/>
      <c r="N135" s="116"/>
      <c r="O135" s="116"/>
      <c r="P135" s="116"/>
    </row>
    <row r="136" spans="1:16" ht="13.5" hidden="1" thickBot="1">
      <c r="A136" s="232" t="s">
        <v>237</v>
      </c>
      <c r="B136" s="233"/>
      <c r="C136" s="234"/>
      <c r="D136" s="234"/>
      <c r="E136" s="148"/>
      <c r="F136" s="148"/>
      <c r="G136" s="148"/>
      <c r="H136" s="148"/>
      <c r="I136" s="148"/>
      <c r="J136" s="148"/>
      <c r="K136" s="148"/>
      <c r="L136" s="149"/>
      <c r="M136" s="148"/>
      <c r="N136" s="116"/>
      <c r="O136" s="116"/>
      <c r="P136" s="116"/>
    </row>
    <row r="137" spans="1:16" ht="13.5" hidden="1" thickBot="1">
      <c r="A137" s="232" t="s">
        <v>238</v>
      </c>
      <c r="B137" s="233"/>
      <c r="C137" s="234"/>
      <c r="D137" s="234"/>
      <c r="E137" s="148"/>
      <c r="F137" s="148"/>
      <c r="G137" s="148"/>
      <c r="H137" s="148"/>
      <c r="I137" s="148"/>
      <c r="J137" s="148"/>
      <c r="K137" s="148"/>
      <c r="L137" s="149"/>
      <c r="M137" s="148"/>
      <c r="N137" s="116"/>
      <c r="O137" s="116"/>
      <c r="P137" s="116"/>
    </row>
    <row r="138" spans="1:16" ht="13.5" hidden="1" thickBot="1">
      <c r="A138" s="232" t="s">
        <v>239</v>
      </c>
      <c r="B138" s="233"/>
      <c r="C138" s="234"/>
      <c r="D138" s="234"/>
      <c r="E138" s="148"/>
      <c r="F138" s="148"/>
      <c r="G138" s="148"/>
      <c r="H138" s="148"/>
      <c r="I138" s="148"/>
      <c r="J138" s="148"/>
      <c r="K138" s="148"/>
      <c r="L138" s="149"/>
      <c r="M138" s="148"/>
      <c r="N138" s="116"/>
      <c r="O138" s="116"/>
      <c r="P138" s="116"/>
    </row>
    <row r="139" spans="1:16" ht="13.5" hidden="1" thickBot="1">
      <c r="A139" s="232" t="s">
        <v>240</v>
      </c>
      <c r="B139" s="233"/>
      <c r="C139" s="234"/>
      <c r="D139" s="234"/>
      <c r="E139" s="148"/>
      <c r="F139" s="148"/>
      <c r="G139" s="148"/>
      <c r="H139" s="148"/>
      <c r="I139" s="148"/>
      <c r="J139" s="148"/>
      <c r="K139" s="148"/>
      <c r="L139" s="149"/>
      <c r="M139" s="148"/>
      <c r="N139" s="116"/>
      <c r="O139" s="116"/>
      <c r="P139" s="116"/>
    </row>
    <row r="140" spans="1:16" ht="13.5" hidden="1" thickBot="1">
      <c r="A140" s="232" t="s">
        <v>241</v>
      </c>
      <c r="B140" s="233"/>
      <c r="C140" s="234"/>
      <c r="D140" s="234"/>
      <c r="E140" s="148"/>
      <c r="F140" s="148"/>
      <c r="G140" s="148"/>
      <c r="H140" s="148"/>
      <c r="I140" s="148"/>
      <c r="J140" s="148"/>
      <c r="K140" s="148"/>
      <c r="L140" s="149"/>
      <c r="M140" s="148"/>
      <c r="N140" s="116"/>
      <c r="O140" s="116"/>
      <c r="P140" s="116"/>
    </row>
    <row r="141" spans="1:16" ht="13.5" hidden="1" thickBot="1">
      <c r="A141" s="232" t="s">
        <v>242</v>
      </c>
      <c r="B141" s="233"/>
      <c r="C141" s="234"/>
      <c r="D141" s="234"/>
      <c r="E141" s="148"/>
      <c r="F141" s="148"/>
      <c r="G141" s="148"/>
      <c r="H141" s="148"/>
      <c r="I141" s="148"/>
      <c r="J141" s="148"/>
      <c r="K141" s="148"/>
      <c r="L141" s="149"/>
      <c r="M141" s="148"/>
      <c r="N141" s="116"/>
      <c r="O141" s="116"/>
      <c r="P141" s="116"/>
    </row>
    <row r="142" spans="1:16" ht="13.5" hidden="1" thickBot="1">
      <c r="A142" s="232" t="s">
        <v>243</v>
      </c>
      <c r="B142" s="233"/>
      <c r="C142" s="234"/>
      <c r="D142" s="234"/>
      <c r="E142" s="148"/>
      <c r="F142" s="148"/>
      <c r="G142" s="148"/>
      <c r="H142" s="148"/>
      <c r="I142" s="148"/>
      <c r="J142" s="148"/>
      <c r="K142" s="148"/>
      <c r="L142" s="149"/>
      <c r="M142" s="148"/>
      <c r="N142" s="116"/>
      <c r="O142" s="116"/>
      <c r="P142" s="116"/>
    </row>
    <row r="143" spans="1:16" ht="13.5" hidden="1" thickBot="1">
      <c r="A143" s="232" t="s">
        <v>244</v>
      </c>
      <c r="B143" s="233"/>
      <c r="C143" s="234"/>
      <c r="D143" s="234"/>
      <c r="E143" s="148"/>
      <c r="F143" s="148"/>
      <c r="G143" s="148"/>
      <c r="H143" s="148"/>
      <c r="I143" s="148"/>
      <c r="J143" s="148"/>
      <c r="K143" s="148"/>
      <c r="L143" s="149"/>
      <c r="M143" s="148"/>
      <c r="N143" s="116"/>
      <c r="O143" s="116"/>
      <c r="P143" s="116"/>
    </row>
    <row r="144" spans="1:16" ht="13.5" hidden="1" thickBot="1">
      <c r="A144" s="232" t="s">
        <v>245</v>
      </c>
      <c r="B144" s="233"/>
      <c r="C144" s="234"/>
      <c r="D144" s="234"/>
      <c r="E144" s="148"/>
      <c r="F144" s="148"/>
      <c r="G144" s="148"/>
      <c r="H144" s="148"/>
      <c r="I144" s="148"/>
      <c r="J144" s="148"/>
      <c r="K144" s="148"/>
      <c r="L144" s="149"/>
      <c r="M144" s="148"/>
      <c r="N144" s="116"/>
      <c r="O144" s="116"/>
      <c r="P144" s="116"/>
    </row>
    <row r="145" spans="1:17" ht="13.5" hidden="1" thickBot="1">
      <c r="A145" s="232" t="s">
        <v>246</v>
      </c>
      <c r="B145" s="233"/>
      <c r="C145" s="234"/>
      <c r="D145" s="234"/>
      <c r="E145" s="148"/>
      <c r="F145" s="148"/>
      <c r="G145" s="148"/>
      <c r="H145" s="148"/>
      <c r="I145" s="148"/>
      <c r="J145" s="148"/>
      <c r="K145" s="148"/>
      <c r="L145" s="149"/>
      <c r="M145" s="148"/>
      <c r="N145" s="116"/>
      <c r="O145" s="116"/>
      <c r="P145" s="116"/>
    </row>
    <row r="146" spans="1:17" ht="13.5" hidden="1" thickBot="1">
      <c r="A146" s="232" t="s">
        <v>247</v>
      </c>
      <c r="B146" s="233"/>
      <c r="C146" s="234"/>
      <c r="D146" s="234"/>
      <c r="E146" s="148"/>
      <c r="F146" s="148"/>
      <c r="G146" s="148"/>
      <c r="H146" s="148"/>
      <c r="I146" s="148"/>
      <c r="J146" s="148"/>
      <c r="K146" s="148"/>
      <c r="L146" s="149"/>
      <c r="M146" s="148"/>
      <c r="N146" s="116"/>
      <c r="O146" s="116"/>
      <c r="P146" s="116"/>
    </row>
    <row r="147" spans="1:17" ht="13.5" hidden="1" thickBot="1">
      <c r="A147" s="232" t="s">
        <v>248</v>
      </c>
      <c r="B147" s="233"/>
      <c r="C147" s="234"/>
      <c r="D147" s="234"/>
      <c r="E147" s="148"/>
      <c r="F147" s="148"/>
      <c r="G147" s="148"/>
      <c r="H147" s="148"/>
      <c r="I147" s="148"/>
      <c r="J147" s="148"/>
      <c r="K147" s="148"/>
      <c r="L147" s="149"/>
      <c r="M147" s="148"/>
      <c r="N147" s="116"/>
      <c r="O147" s="116"/>
      <c r="P147" s="116"/>
    </row>
    <row r="148" spans="1:17" ht="13.5" hidden="1" thickBot="1">
      <c r="A148" s="232" t="s">
        <v>249</v>
      </c>
      <c r="B148" s="233"/>
      <c r="C148" s="234"/>
      <c r="D148" s="234"/>
      <c r="E148" s="148"/>
      <c r="F148" s="148"/>
      <c r="G148" s="148"/>
      <c r="H148" s="148"/>
      <c r="I148" s="148"/>
      <c r="J148" s="148"/>
      <c r="K148" s="148"/>
      <c r="L148" s="149"/>
      <c r="M148" s="148"/>
      <c r="N148" s="116"/>
      <c r="O148" s="116"/>
      <c r="P148" s="116"/>
    </row>
    <row r="149" spans="1:17" ht="13.5" hidden="1" thickBot="1">
      <c r="A149" s="232" t="s">
        <v>250</v>
      </c>
      <c r="B149" s="233"/>
      <c r="C149" s="234"/>
      <c r="D149" s="234"/>
      <c r="E149" s="148"/>
      <c r="F149" s="148"/>
      <c r="G149" s="148"/>
      <c r="H149" s="148"/>
      <c r="I149" s="148"/>
      <c r="J149" s="148"/>
      <c r="K149" s="148"/>
      <c r="L149" s="149"/>
      <c r="M149" s="148"/>
      <c r="N149" s="116"/>
      <c r="O149" s="116"/>
      <c r="P149" s="116"/>
    </row>
    <row r="150" spans="1:17" ht="13.5" hidden="1" thickBot="1">
      <c r="A150" s="232"/>
      <c r="B150" s="233"/>
      <c r="C150" s="234"/>
      <c r="D150" s="234"/>
      <c r="E150" s="148"/>
      <c r="F150" s="148"/>
      <c r="G150" s="148"/>
      <c r="H150" s="148"/>
      <c r="I150" s="148"/>
      <c r="J150" s="148"/>
      <c r="K150" s="148"/>
      <c r="L150" s="149"/>
      <c r="M150" s="148"/>
      <c r="N150" s="116"/>
      <c r="O150" s="116"/>
      <c r="P150" s="116"/>
    </row>
    <row r="151" spans="1:17" ht="13.5" hidden="1" thickBot="1">
      <c r="A151" s="232"/>
      <c r="B151" s="233"/>
      <c r="C151" s="234"/>
      <c r="D151" s="234"/>
      <c r="E151" s="148"/>
      <c r="F151" s="148"/>
      <c r="G151" s="148"/>
      <c r="H151" s="148"/>
      <c r="I151" s="148"/>
      <c r="J151" s="148"/>
      <c r="K151" s="148"/>
      <c r="L151" s="149"/>
      <c r="M151" s="148"/>
      <c r="N151" s="116"/>
      <c r="O151" s="116"/>
      <c r="P151" s="116"/>
    </row>
    <row r="152" spans="1:17" ht="13.5" hidden="1" thickBot="1">
      <c r="A152" s="232"/>
      <c r="B152" s="233"/>
      <c r="C152" s="234"/>
      <c r="D152" s="234"/>
      <c r="E152" s="148"/>
      <c r="F152" s="148"/>
      <c r="G152" s="148"/>
      <c r="H152" s="148"/>
      <c r="I152" s="148"/>
      <c r="J152" s="148"/>
      <c r="K152" s="148"/>
      <c r="L152" s="149"/>
      <c r="M152" s="148"/>
      <c r="N152" s="116"/>
      <c r="O152" s="116"/>
      <c r="P152" s="116"/>
    </row>
    <row r="153" spans="1:17" ht="13.5" hidden="1" thickBot="1">
      <c r="A153" s="232"/>
      <c r="B153" s="233"/>
      <c r="C153" s="234"/>
      <c r="D153" s="234"/>
      <c r="E153" s="148"/>
      <c r="F153" s="148"/>
      <c r="G153" s="148"/>
      <c r="H153" s="148"/>
      <c r="I153" s="148"/>
      <c r="J153" s="148"/>
      <c r="K153" s="148"/>
      <c r="L153" s="149"/>
      <c r="M153" s="148"/>
      <c r="N153" s="116"/>
      <c r="O153" s="121">
        <f>SUM(O10:O152)</f>
        <v>267940.16315081238</v>
      </c>
      <c r="P153" s="121"/>
      <c r="Q153" s="196">
        <f>SUM(Q44:Q152)</f>
        <v>396823.52331140439</v>
      </c>
    </row>
    <row r="154" spans="1:17" ht="13.5" hidden="1" thickBot="1">
      <c r="A154" s="232"/>
      <c r="B154" s="233"/>
      <c r="C154" s="234"/>
      <c r="D154" s="234"/>
      <c r="E154" s="148"/>
      <c r="F154" s="148"/>
      <c r="G154" s="148"/>
      <c r="H154" s="148"/>
      <c r="I154" s="148"/>
      <c r="J154" s="148"/>
      <c r="K154" s="148"/>
      <c r="L154" s="149"/>
      <c r="M154" s="148"/>
      <c r="N154" s="116"/>
      <c r="O154" s="121"/>
      <c r="P154" s="121"/>
      <c r="Q154" s="197"/>
    </row>
    <row r="155" spans="1:17" ht="13.5" hidden="1" thickBot="1">
      <c r="A155" s="232"/>
      <c r="B155" s="233"/>
      <c r="C155" s="234"/>
      <c r="D155" s="234"/>
      <c r="E155" s="148"/>
      <c r="F155" s="148"/>
      <c r="G155" s="148"/>
      <c r="H155" s="148"/>
      <c r="I155" s="148"/>
      <c r="J155" s="148"/>
      <c r="K155" s="148"/>
      <c r="L155" s="149"/>
      <c r="M155" s="148"/>
      <c r="N155" s="116"/>
      <c r="O155" s="121"/>
      <c r="P155" s="121"/>
      <c r="Q155" s="197"/>
    </row>
    <row r="156" spans="1:17" ht="13.5" hidden="1" thickBot="1">
      <c r="A156" s="232"/>
      <c r="B156" s="233"/>
      <c r="C156" s="234"/>
      <c r="D156" s="234"/>
      <c r="E156" s="148"/>
      <c r="F156" s="148"/>
      <c r="G156" s="148"/>
      <c r="H156" s="148"/>
      <c r="I156" s="148"/>
      <c r="J156" s="148"/>
      <c r="K156" s="148"/>
      <c r="L156" s="149"/>
      <c r="M156" s="148"/>
      <c r="N156" s="116"/>
      <c r="O156" s="121"/>
      <c r="P156" s="121"/>
      <c r="Q156" s="197"/>
    </row>
    <row r="157" spans="1:17" ht="13.5" hidden="1" thickBot="1">
      <c r="A157" s="232"/>
      <c r="B157" s="233"/>
      <c r="C157" s="234"/>
      <c r="D157" s="234"/>
      <c r="E157" s="148"/>
      <c r="F157" s="148"/>
      <c r="G157" s="148"/>
      <c r="H157" s="148"/>
      <c r="I157" s="148"/>
      <c r="J157" s="148"/>
      <c r="K157" s="148"/>
      <c r="L157" s="149"/>
      <c r="M157" s="148"/>
      <c r="N157" s="116"/>
      <c r="O157" s="121"/>
      <c r="P157" s="121"/>
      <c r="Q157" s="197"/>
    </row>
    <row r="158" spans="1:17" ht="13.5" hidden="1" thickBot="1">
      <c r="A158" s="232"/>
      <c r="B158" s="233"/>
      <c r="C158" s="234"/>
      <c r="D158" s="234"/>
      <c r="E158" s="148"/>
      <c r="F158" s="148"/>
      <c r="G158" s="148"/>
      <c r="H158" s="148"/>
      <c r="I158" s="148"/>
      <c r="J158" s="148"/>
      <c r="K158" s="148"/>
      <c r="L158" s="149"/>
      <c r="M158" s="148"/>
      <c r="N158" s="116"/>
      <c r="O158" s="121"/>
      <c r="P158" s="121"/>
      <c r="Q158" s="197"/>
    </row>
    <row r="159" spans="1:17" ht="13.5" hidden="1" thickBot="1">
      <c r="A159" s="232"/>
      <c r="B159" s="233"/>
      <c r="C159" s="234"/>
      <c r="D159" s="234"/>
      <c r="E159" s="148"/>
      <c r="F159" s="148"/>
      <c r="G159" s="148"/>
      <c r="H159" s="148"/>
      <c r="I159" s="148"/>
      <c r="J159" s="148"/>
      <c r="K159" s="148"/>
      <c r="L159" s="149"/>
      <c r="M159" s="148"/>
      <c r="N159" s="116"/>
      <c r="O159" s="121"/>
      <c r="P159" s="121"/>
      <c r="Q159" s="197"/>
    </row>
    <row r="160" spans="1:17" ht="13.5" hidden="1" thickBot="1">
      <c r="A160" s="232"/>
      <c r="B160" s="233"/>
      <c r="C160" s="234"/>
      <c r="D160" s="234"/>
      <c r="E160" s="148"/>
      <c r="F160" s="198"/>
      <c r="G160" s="198"/>
      <c r="H160" s="148"/>
      <c r="I160" s="148"/>
      <c r="J160" s="148"/>
      <c r="K160" s="148"/>
      <c r="L160" s="199"/>
      <c r="M160" s="148"/>
      <c r="N160" s="116"/>
      <c r="O160" s="121"/>
      <c r="P160" s="121"/>
      <c r="Q160" s="197"/>
    </row>
    <row r="161" spans="1:17" ht="13.5" hidden="1" thickBot="1">
      <c r="A161" s="235"/>
      <c r="B161" s="236"/>
      <c r="C161" s="705" t="s">
        <v>1</v>
      </c>
      <c r="D161" s="705"/>
      <c r="E161" s="706"/>
      <c r="F161" s="200">
        <f>SUM(F10:F149)</f>
        <v>21800000</v>
      </c>
      <c r="G161" s="200">
        <f>SUM(G10:G149)</f>
        <v>38520000</v>
      </c>
      <c r="H161" s="201">
        <f>SUM(H10:H149)</f>
        <v>8098549.9999999302</v>
      </c>
      <c r="I161" s="202">
        <f>SUM(I10:I57)</f>
        <v>1767712.0766897509</v>
      </c>
      <c r="J161" s="203">
        <f>SUM(J10:J57)</f>
        <v>4113542.9102563993</v>
      </c>
      <c r="K161" s="204">
        <f>SUM(K10:K149)</f>
        <v>4087000</v>
      </c>
      <c r="L161" s="205">
        <f>SUM(L10:L149)</f>
        <v>70212804.986946076</v>
      </c>
      <c r="M161" s="237"/>
      <c r="N161" s="116">
        <f>SUM(N10:N153)</f>
        <v>3884953.0982610965</v>
      </c>
      <c r="O161" s="116"/>
      <c r="P161" s="121">
        <f>SUM(P10:P153)</f>
        <v>4152893.261411909</v>
      </c>
      <c r="Q161" s="194">
        <f>N161+Q153</f>
        <v>4281776.621572501</v>
      </c>
    </row>
    <row r="162" spans="1:17" ht="15.75" hidden="1" thickBot="1">
      <c r="A162" s="238"/>
      <c r="B162" s="239"/>
      <c r="C162" s="238"/>
      <c r="D162" s="238"/>
      <c r="E162" s="238"/>
      <c r="F162" s="206"/>
      <c r="G162" s="206"/>
      <c r="H162" s="240"/>
      <c r="I162" s="207">
        <f>(H161+I161+J161)-K161</f>
        <v>9892804.9869460799</v>
      </c>
      <c r="J162" s="207"/>
      <c r="K162" s="208"/>
      <c r="L162" s="241">
        <f>F161+G161+I162</f>
        <v>70212804.986946076</v>
      </c>
      <c r="M162" s="242"/>
      <c r="N162" s="116"/>
      <c r="O162" s="116"/>
      <c r="P162" s="121"/>
      <c r="Q162" s="194"/>
    </row>
    <row r="163" spans="1:17" ht="15.75" thickBot="1">
      <c r="A163" s="694"/>
      <c r="B163" s="694"/>
      <c r="C163" s="694"/>
      <c r="D163" s="695"/>
      <c r="E163" s="243" t="s">
        <v>0</v>
      </c>
      <c r="F163" s="209"/>
      <c r="G163" s="210"/>
      <c r="H163" s="210"/>
      <c r="I163" s="210"/>
      <c r="J163" s="210"/>
      <c r="K163" s="210"/>
      <c r="L163" s="211">
        <f>[1]TOTAL!C5</f>
        <v>25424250</v>
      </c>
      <c r="M163" s="244"/>
      <c r="N163" s="121"/>
      <c r="O163" s="121"/>
      <c r="P163" s="121"/>
    </row>
    <row r="165" spans="1:17">
      <c r="C165" s="213" t="s">
        <v>0</v>
      </c>
      <c r="D165" s="213"/>
      <c r="I165" s="170" t="s">
        <v>407</v>
      </c>
      <c r="L165" s="171">
        <f>TOTAL!C5</f>
        <v>74233396.780954257</v>
      </c>
      <c r="M165" s="214"/>
    </row>
    <row r="166" spans="1:17">
      <c r="C166" s="213"/>
      <c r="D166" s="213"/>
      <c r="L166" s="171">
        <f>L161-L165</f>
        <v>-4020591.7940081805</v>
      </c>
    </row>
    <row r="169" spans="1:17">
      <c r="C169" s="152" t="s">
        <v>0</v>
      </c>
    </row>
  </sheetData>
  <mergeCells count="13">
    <mergeCell ref="A163:D163"/>
    <mergeCell ref="N6:O7"/>
    <mergeCell ref="F7:F8"/>
    <mergeCell ref="G7:G8"/>
    <mergeCell ref="H7:K7"/>
    <mergeCell ref="L7:L8"/>
    <mergeCell ref="C161:E161"/>
    <mergeCell ref="A6:A8"/>
    <mergeCell ref="B6:B8"/>
    <mergeCell ref="C6:C8"/>
    <mergeCell ref="D6:D8"/>
    <mergeCell ref="F6:L6"/>
    <mergeCell ref="M6:M8"/>
  </mergeCells>
  <printOptions horizontalCentered="1"/>
  <pageMargins left="0.51181102362204722" right="0.70866141732283472" top="0.35433070866141736" bottom="0.35433070866141736" header="0.31496062992125984" footer="0.31496062992125984"/>
  <pageSetup paperSize="5" scale="90" orientation="landscape" horizontalDpi="4294967293" verticalDpi="0" r:id="rId1"/>
  <drawing r:id="rId2"/>
  <legacyDrawing r:id="rId3"/>
  <oleObjects>
    <oleObject progId="CorelDRAW.Graphic.11" shapeId="100353" r:id="rId4"/>
  </oleObjects>
</worksheet>
</file>

<file path=xl/worksheets/sheet106.xml><?xml version="1.0" encoding="utf-8"?>
<worksheet xmlns="http://schemas.openxmlformats.org/spreadsheetml/2006/main" xmlns:r="http://schemas.openxmlformats.org/officeDocument/2006/relationships">
  <dimension ref="A1:S169"/>
  <sheetViews>
    <sheetView workbookViewId="0">
      <selection activeCell="E14" sqref="E14"/>
    </sheetView>
  </sheetViews>
  <sheetFormatPr defaultRowHeight="12.75"/>
  <cols>
    <col min="1" max="1" width="6.42578125" style="152" customWidth="1"/>
    <col min="2" max="2" width="13.28515625" style="212" customWidth="1"/>
    <col min="3" max="3" width="29.7109375" style="152" customWidth="1"/>
    <col min="4" max="4" width="13.7109375" style="152" customWidth="1"/>
    <col min="5" max="5" width="60.7109375" style="152" customWidth="1"/>
    <col min="6" max="11" width="13.7109375" style="170" hidden="1" customWidth="1"/>
    <col min="12" max="12" width="13.7109375" style="171" hidden="1" customWidth="1"/>
    <col min="13" max="13" width="21.5703125" style="152" customWidth="1"/>
    <col min="14" max="16" width="13.7109375" style="118" customWidth="1"/>
    <col min="17" max="17" width="18" style="152" bestFit="1" customWidth="1"/>
    <col min="18" max="18" width="27.7109375" style="152" customWidth="1"/>
    <col min="19" max="19" width="15.140625" style="152" customWidth="1"/>
    <col min="20" max="16384" width="9.140625" style="152"/>
  </cols>
  <sheetData>
    <row r="1" spans="1:19" ht="14.25">
      <c r="A1" s="215"/>
      <c r="B1" s="216"/>
      <c r="C1" s="217"/>
      <c r="D1" s="168"/>
      <c r="E1" s="168"/>
      <c r="F1" s="168"/>
      <c r="G1" s="168"/>
      <c r="H1" s="168"/>
      <c r="I1" s="168"/>
      <c r="J1" s="168"/>
      <c r="K1" s="168"/>
      <c r="L1" s="218"/>
      <c r="M1" s="168"/>
    </row>
    <row r="2" spans="1:19" ht="32.25" customHeight="1">
      <c r="A2" s="219"/>
      <c r="B2" s="220"/>
      <c r="C2" s="217"/>
      <c r="D2" s="168"/>
      <c r="E2" s="168"/>
      <c r="F2" s="168"/>
      <c r="G2" s="168"/>
      <c r="H2" s="168"/>
      <c r="I2" s="168"/>
      <c r="J2" s="168"/>
      <c r="K2" s="168"/>
      <c r="L2" s="218"/>
      <c r="M2" s="168"/>
    </row>
    <row r="3" spans="1:19">
      <c r="A3" s="168"/>
      <c r="B3" s="221"/>
      <c r="C3" s="168"/>
      <c r="D3" s="168"/>
      <c r="E3" s="168"/>
      <c r="F3" s="168"/>
      <c r="G3" s="168"/>
      <c r="H3" s="168"/>
      <c r="I3" s="168"/>
      <c r="J3" s="168"/>
      <c r="K3" s="168"/>
      <c r="L3" s="218"/>
      <c r="M3" s="168"/>
    </row>
    <row r="4" spans="1:19" ht="19.5">
      <c r="A4" s="717" t="s">
        <v>505</v>
      </c>
      <c r="B4" s="717"/>
      <c r="C4" s="717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174"/>
      <c r="O4" s="174"/>
      <c r="P4" s="174"/>
    </row>
    <row r="5" spans="1:19" ht="20.100000000000001" customHeight="1" thickBot="1">
      <c r="A5" s="223"/>
      <c r="B5" s="224"/>
      <c r="C5" s="225"/>
      <c r="D5" s="168"/>
      <c r="E5" s="168"/>
      <c r="F5" s="168"/>
      <c r="G5" s="168"/>
      <c r="H5" s="168"/>
      <c r="I5" s="168"/>
      <c r="J5" s="168"/>
      <c r="K5" s="168"/>
      <c r="L5" s="218"/>
      <c r="M5" s="168"/>
    </row>
    <row r="6" spans="1:19" ht="20.25" customHeight="1" thickBot="1">
      <c r="A6" s="722" t="s">
        <v>9</v>
      </c>
      <c r="B6" s="724" t="s">
        <v>382</v>
      </c>
      <c r="C6" s="726" t="s">
        <v>2</v>
      </c>
      <c r="D6" s="728" t="s">
        <v>8</v>
      </c>
      <c r="E6" s="287"/>
      <c r="F6" s="730" t="s">
        <v>500</v>
      </c>
      <c r="G6" s="730"/>
      <c r="H6" s="730"/>
      <c r="I6" s="730"/>
      <c r="J6" s="730"/>
      <c r="K6" s="730"/>
      <c r="L6" s="730"/>
      <c r="M6" s="731" t="s">
        <v>504</v>
      </c>
      <c r="N6" s="697" t="s">
        <v>383</v>
      </c>
      <c r="O6" s="697"/>
      <c r="P6" s="175"/>
    </row>
    <row r="7" spans="1:19" ht="16.5" customHeight="1" thickBot="1">
      <c r="A7" s="723"/>
      <c r="B7" s="725"/>
      <c r="C7" s="727"/>
      <c r="D7" s="729"/>
      <c r="E7" s="288" t="s">
        <v>11</v>
      </c>
      <c r="F7" s="718" t="s">
        <v>5</v>
      </c>
      <c r="G7" s="718" t="s">
        <v>6</v>
      </c>
      <c r="H7" s="719" t="s">
        <v>7</v>
      </c>
      <c r="I7" s="719"/>
      <c r="J7" s="719"/>
      <c r="K7" s="719"/>
      <c r="L7" s="720" t="s">
        <v>1</v>
      </c>
      <c r="M7" s="732"/>
      <c r="N7" s="697"/>
      <c r="O7" s="697"/>
      <c r="P7" s="175"/>
      <c r="Q7" s="152" t="s">
        <v>384</v>
      </c>
      <c r="S7" s="176">
        <v>5193463.0762564298</v>
      </c>
    </row>
    <row r="8" spans="1:19" ht="13.5" customHeight="1" thickBot="1">
      <c r="A8" s="723"/>
      <c r="B8" s="725"/>
      <c r="C8" s="727"/>
      <c r="D8" s="729"/>
      <c r="E8" s="289"/>
      <c r="F8" s="718"/>
      <c r="G8" s="718"/>
      <c r="H8" s="254" t="s">
        <v>7</v>
      </c>
      <c r="I8" s="254" t="s">
        <v>385</v>
      </c>
      <c r="J8" s="254" t="s">
        <v>498</v>
      </c>
      <c r="K8" s="254" t="s">
        <v>497</v>
      </c>
      <c r="L8" s="720"/>
      <c r="M8" s="732"/>
      <c r="N8" s="180"/>
      <c r="O8" s="180"/>
      <c r="P8" s="180"/>
    </row>
    <row r="9" spans="1:19" ht="7.5" customHeight="1" thickBot="1">
      <c r="A9" s="255"/>
      <c r="B9" s="256"/>
      <c r="C9" s="257"/>
      <c r="D9" s="258"/>
      <c r="E9" s="257"/>
      <c r="F9" s="258"/>
      <c r="G9" s="257"/>
      <c r="H9" s="258"/>
      <c r="I9" s="258"/>
      <c r="J9" s="258"/>
      <c r="K9" s="258"/>
      <c r="L9" s="259"/>
      <c r="M9" s="260"/>
      <c r="N9" s="184">
        <v>1817712.0766897504</v>
      </c>
      <c r="O9" s="184"/>
      <c r="P9" s="184"/>
      <c r="Q9" s="185" t="s">
        <v>386</v>
      </c>
      <c r="R9" s="186"/>
      <c r="S9" s="187">
        <v>5193463.0762564298</v>
      </c>
    </row>
    <row r="10" spans="1:19" s="249" customFormat="1" ht="21" customHeight="1">
      <c r="A10" s="261" t="s">
        <v>51</v>
      </c>
      <c r="B10" s="262">
        <v>40634</v>
      </c>
      <c r="C10" s="263" t="s">
        <v>14</v>
      </c>
      <c r="D10" s="264" t="s">
        <v>16</v>
      </c>
      <c r="E10" s="265" t="s">
        <v>19</v>
      </c>
      <c r="F10" s="265">
        <f>'0098'!L50</f>
        <v>500000</v>
      </c>
      <c r="G10" s="265">
        <f>'0098'!M50</f>
        <v>50000</v>
      </c>
      <c r="H10" s="265">
        <f>'0098'!N50</f>
        <v>0</v>
      </c>
      <c r="I10" s="266">
        <v>7938.3296995005076</v>
      </c>
      <c r="J10" s="266">
        <v>10525.945032806878</v>
      </c>
      <c r="K10" s="265">
        <v>10000</v>
      </c>
      <c r="L10" s="266">
        <f>(F10+G10+H10+I10+J10)-K10</f>
        <v>558464.2747323073</v>
      </c>
      <c r="M10" s="267"/>
      <c r="N10" s="245">
        <f>(L10/$L$163)*(12/12)*$N$9*100%</f>
        <v>39927.520244675761</v>
      </c>
      <c r="O10" s="245">
        <f>(L10/$L$165)*(12/12)*$Q$153*100%</f>
        <v>2985.3377422125495</v>
      </c>
      <c r="P10" s="245">
        <f>SUM(N10:O10)</f>
        <v>42912.85798688831</v>
      </c>
      <c r="Q10" s="246" t="s">
        <v>387</v>
      </c>
      <c r="R10" s="247"/>
      <c r="S10" s="248">
        <f>S9*35%</f>
        <v>1817712.0766897504</v>
      </c>
    </row>
    <row r="11" spans="1:19" s="249" customFormat="1" ht="21" customHeight="1">
      <c r="A11" s="261" t="s">
        <v>63</v>
      </c>
      <c r="B11" s="262">
        <v>40637</v>
      </c>
      <c r="C11" s="263" t="s">
        <v>15</v>
      </c>
      <c r="D11" s="264" t="s">
        <v>17</v>
      </c>
      <c r="E11" s="265" t="s">
        <v>20</v>
      </c>
      <c r="F11" s="265">
        <f>'0002'!L30</f>
        <v>500000</v>
      </c>
      <c r="G11" s="265">
        <f>'0002'!M30</f>
        <v>642500</v>
      </c>
      <c r="H11" s="265">
        <f>'0002'!N30</f>
        <v>0</v>
      </c>
      <c r="I11" s="266">
        <v>19051.991278801215</v>
      </c>
      <c r="J11" s="266">
        <v>25262.268078736506</v>
      </c>
      <c r="K11" s="265">
        <v>25000</v>
      </c>
      <c r="L11" s="266">
        <f t="shared" ref="L11:L57" si="0">(F11+G11+H11+I11+J11)-K11</f>
        <v>1161814.2593575376</v>
      </c>
      <c r="M11" s="268"/>
      <c r="N11" s="245">
        <f>(L11/$L$163)*(12/12)*$N$9*100%</f>
        <v>83064.153715627952</v>
      </c>
      <c r="O11" s="245">
        <f t="shared" ref="O11:O43" si="1">(L11/$L$165)*(12/12)*$Q$153*100%</f>
        <v>6210.6174285961497</v>
      </c>
      <c r="P11" s="245">
        <f t="shared" ref="P11:P49" si="2">SUM(N11:O11)</f>
        <v>89274.771144224098</v>
      </c>
      <c r="Q11" s="246" t="s">
        <v>388</v>
      </c>
      <c r="R11" s="247"/>
      <c r="S11" s="248">
        <f>S9*30%</f>
        <v>1558038.9228769289</v>
      </c>
    </row>
    <row r="12" spans="1:19" s="249" customFormat="1" ht="21" customHeight="1">
      <c r="A12" s="261" t="s">
        <v>64</v>
      </c>
      <c r="B12" s="262">
        <v>40637</v>
      </c>
      <c r="C12" s="263" t="s">
        <v>13</v>
      </c>
      <c r="D12" s="264" t="s">
        <v>18</v>
      </c>
      <c r="E12" s="265" t="s">
        <v>21</v>
      </c>
      <c r="F12" s="265">
        <f>'0003'!L50</f>
        <v>500000</v>
      </c>
      <c r="G12" s="265">
        <f>'0003'!M50</f>
        <v>1710000</v>
      </c>
      <c r="H12" s="265">
        <f>'0003'!N50</f>
        <v>470000</v>
      </c>
      <c r="I12" s="266">
        <v>53583.72547162843</v>
      </c>
      <c r="J12" s="266">
        <v>71050.128971446436</v>
      </c>
      <c r="K12" s="265">
        <v>71000</v>
      </c>
      <c r="L12" s="266">
        <f t="shared" si="0"/>
        <v>2733633.8544430747</v>
      </c>
      <c r="M12" s="268"/>
      <c r="N12" s="245">
        <f t="shared" ref="N12:N43" si="3">(L12/$L$163)*100%*(12/12)*$N$9</f>
        <v>195441.72474976166</v>
      </c>
      <c r="O12" s="245">
        <f t="shared" si="1"/>
        <v>14612.967540261481</v>
      </c>
      <c r="P12" s="245">
        <f t="shared" si="2"/>
        <v>210054.69229002314</v>
      </c>
      <c r="Q12" s="246" t="s">
        <v>389</v>
      </c>
      <c r="R12" s="247"/>
      <c r="S12" s="248">
        <f>S9*20%</f>
        <v>1038692.615251286</v>
      </c>
    </row>
    <row r="13" spans="1:19" s="249" customFormat="1" ht="21" customHeight="1" thickBot="1">
      <c r="A13" s="261" t="s">
        <v>65</v>
      </c>
      <c r="B13" s="262">
        <v>40619</v>
      </c>
      <c r="C13" s="263" t="s">
        <v>22</v>
      </c>
      <c r="D13" s="264" t="s">
        <v>23</v>
      </c>
      <c r="E13" s="265" t="s">
        <v>24</v>
      </c>
      <c r="F13" s="265">
        <f>'0004'!L50</f>
        <v>500000</v>
      </c>
      <c r="G13" s="265">
        <f>'0004'!M50</f>
        <v>865000</v>
      </c>
      <c r="H13" s="265">
        <f>'0004'!N50</f>
        <v>10000</v>
      </c>
      <c r="I13" s="266">
        <v>52392.976016703353</v>
      </c>
      <c r="J13" s="266">
        <v>81661.004584279537</v>
      </c>
      <c r="K13" s="265">
        <v>81000</v>
      </c>
      <c r="L13" s="266">
        <f t="shared" si="0"/>
        <v>1428053.9806009829</v>
      </c>
      <c r="M13" s="268"/>
      <c r="N13" s="245">
        <f t="shared" si="3"/>
        <v>102099.01832711986</v>
      </c>
      <c r="O13" s="245">
        <f t="shared" si="1"/>
        <v>7633.8337814867455</v>
      </c>
      <c r="P13" s="245">
        <f t="shared" si="2"/>
        <v>109732.8521086066</v>
      </c>
      <c r="Q13" s="246" t="s">
        <v>390</v>
      </c>
      <c r="R13" s="247"/>
      <c r="S13" s="248">
        <f>S9*15%</f>
        <v>779019.46143846447</v>
      </c>
    </row>
    <row r="14" spans="1:19" s="249" customFormat="1" ht="21" customHeight="1" thickBot="1">
      <c r="A14" s="261" t="s">
        <v>66</v>
      </c>
      <c r="B14" s="262">
        <v>40611</v>
      </c>
      <c r="C14" s="263" t="s">
        <v>25</v>
      </c>
      <c r="D14" s="264" t="s">
        <v>26</v>
      </c>
      <c r="E14" s="265" t="s">
        <v>27</v>
      </c>
      <c r="F14" s="265">
        <f>'0096'!$L$40</f>
        <v>500000</v>
      </c>
      <c r="G14" s="265">
        <f>'0096'!M40</f>
        <v>800000</v>
      </c>
      <c r="H14" s="265">
        <f>'0096'!N40</f>
        <v>0</v>
      </c>
      <c r="I14" s="266">
        <v>38103.98255760243</v>
      </c>
      <c r="J14" s="266">
        <v>79779.977840082967</v>
      </c>
      <c r="K14" s="265">
        <v>79000</v>
      </c>
      <c r="L14" s="266">
        <f t="shared" si="0"/>
        <v>1338883.9603976854</v>
      </c>
      <c r="M14" s="268"/>
      <c r="N14" s="245">
        <f t="shared" si="3"/>
        <v>95723.789063633114</v>
      </c>
      <c r="O14" s="245">
        <f t="shared" si="1"/>
        <v>7157.164746722864</v>
      </c>
      <c r="P14" s="245">
        <f t="shared" si="2"/>
        <v>102880.95381035598</v>
      </c>
      <c r="Q14" s="250" t="s">
        <v>391</v>
      </c>
      <c r="R14" s="251"/>
      <c r="S14" s="176">
        <f>SUM(S10:S13)</f>
        <v>5193463.0762564298</v>
      </c>
    </row>
    <row r="15" spans="1:19" s="249" customFormat="1" ht="21" customHeight="1">
      <c r="A15" s="261" t="s">
        <v>67</v>
      </c>
      <c r="B15" s="262">
        <v>40661</v>
      </c>
      <c r="C15" s="263" t="s">
        <v>28</v>
      </c>
      <c r="D15" s="264" t="s">
        <v>29</v>
      </c>
      <c r="E15" s="265" t="s">
        <v>24</v>
      </c>
      <c r="F15" s="265">
        <f>'0006'!$L$50</f>
        <v>500000</v>
      </c>
      <c r="G15" s="265">
        <f>'0006'!M50</f>
        <v>1920000</v>
      </c>
      <c r="H15" s="265">
        <f>'0006'!$N$50</f>
        <v>358599.99999993015</v>
      </c>
      <c r="I15" s="266">
        <v>414380.81031392649</v>
      </c>
      <c r="J15" s="266">
        <v>549454.330712519</v>
      </c>
      <c r="K15" s="265">
        <v>549000</v>
      </c>
      <c r="L15" s="266">
        <f t="shared" si="0"/>
        <v>3193435.1410263758</v>
      </c>
      <c r="M15" s="268"/>
      <c r="N15" s="245">
        <f t="shared" si="3"/>
        <v>228315.31400018011</v>
      </c>
      <c r="O15" s="245">
        <f t="shared" si="1"/>
        <v>17070.890449319515</v>
      </c>
      <c r="P15" s="245">
        <f t="shared" si="2"/>
        <v>245386.20444949961</v>
      </c>
      <c r="S15" s="252"/>
    </row>
    <row r="16" spans="1:19" s="249" customFormat="1" ht="21" customHeight="1">
      <c r="A16" s="261" t="s">
        <v>68</v>
      </c>
      <c r="B16" s="262">
        <v>40665</v>
      </c>
      <c r="C16" s="263" t="s">
        <v>30</v>
      </c>
      <c r="D16" s="264" t="s">
        <v>31</v>
      </c>
      <c r="E16" s="265" t="s">
        <v>111</v>
      </c>
      <c r="F16" s="265">
        <f>'0099'!$L$41</f>
        <v>0</v>
      </c>
      <c r="G16" s="265">
        <f>'0099'!$M$41</f>
        <v>0</v>
      </c>
      <c r="H16" s="265">
        <f>'0099'!$N$41</f>
        <v>0</v>
      </c>
      <c r="I16" s="266">
        <v>207190.40515696324</v>
      </c>
      <c r="J16" s="266">
        <v>294230.79314466612</v>
      </c>
      <c r="K16" s="265">
        <v>294000</v>
      </c>
      <c r="L16" s="266">
        <f t="shared" si="0"/>
        <v>207421.1983016294</v>
      </c>
      <c r="M16" s="268"/>
      <c r="N16" s="245">
        <f t="shared" si="3"/>
        <v>14829.621999246046</v>
      </c>
      <c r="O16" s="245">
        <f t="shared" si="1"/>
        <v>1108.7948859783805</v>
      </c>
      <c r="P16" s="245">
        <f t="shared" si="2"/>
        <v>15938.416885224427</v>
      </c>
    </row>
    <row r="17" spans="1:16" s="249" customFormat="1" ht="21" customHeight="1">
      <c r="A17" s="261" t="s">
        <v>69</v>
      </c>
      <c r="B17" s="262">
        <v>40621</v>
      </c>
      <c r="C17" s="263" t="s">
        <v>32</v>
      </c>
      <c r="D17" s="264" t="s">
        <v>33</v>
      </c>
      <c r="E17" s="265" t="s">
        <v>34</v>
      </c>
      <c r="F17" s="265">
        <f>'0008'!$L$50</f>
        <v>500000</v>
      </c>
      <c r="G17" s="265">
        <f>'0008'!$M$50</f>
        <v>895000</v>
      </c>
      <c r="H17" s="265">
        <f>'0008'!$N$50</f>
        <v>110000</v>
      </c>
      <c r="I17" s="266">
        <v>61918.971656103953</v>
      </c>
      <c r="J17" s="266">
        <v>94292.138623647799</v>
      </c>
      <c r="K17" s="265">
        <v>94000</v>
      </c>
      <c r="L17" s="266">
        <f t="shared" si="0"/>
        <v>1567211.1102797517</v>
      </c>
      <c r="M17" s="268"/>
      <c r="N17" s="245">
        <f t="shared" si="3"/>
        <v>112048.08644809018</v>
      </c>
      <c r="O17" s="245">
        <f t="shared" si="1"/>
        <v>8377.7149035641178</v>
      </c>
      <c r="P17" s="245">
        <f t="shared" si="2"/>
        <v>120425.8013516543</v>
      </c>
    </row>
    <row r="18" spans="1:16" s="249" customFormat="1" ht="21" customHeight="1">
      <c r="A18" s="261" t="s">
        <v>70</v>
      </c>
      <c r="B18" s="262">
        <v>40672</v>
      </c>
      <c r="C18" s="263" t="s">
        <v>35</v>
      </c>
      <c r="D18" s="264" t="s">
        <v>36</v>
      </c>
      <c r="E18" s="265" t="s">
        <v>113</v>
      </c>
      <c r="F18" s="265">
        <f>'0009'!$L$29</f>
        <v>500000</v>
      </c>
      <c r="G18" s="265">
        <f>'0009'!$M$29</f>
        <v>722500</v>
      </c>
      <c r="H18" s="265">
        <f>'0009'!$N$29</f>
        <v>0</v>
      </c>
      <c r="I18" s="266">
        <v>17464.325338901119</v>
      </c>
      <c r="J18" s="266">
        <v>23157.079072175129</v>
      </c>
      <c r="K18" s="265">
        <v>23000</v>
      </c>
      <c r="L18" s="266">
        <f t="shared" si="0"/>
        <v>1240121.4044110761</v>
      </c>
      <c r="M18" s="268"/>
      <c r="N18" s="245">
        <f t="shared" si="3"/>
        <v>88662.739445980391</v>
      </c>
      <c r="O18" s="245">
        <f t="shared" si="1"/>
        <v>6629.2176617539417</v>
      </c>
      <c r="P18" s="245">
        <f t="shared" si="2"/>
        <v>95291.957107734328</v>
      </c>
    </row>
    <row r="19" spans="1:16" s="249" customFormat="1" ht="21" customHeight="1">
      <c r="A19" s="261" t="s">
        <v>71</v>
      </c>
      <c r="B19" s="262">
        <v>40605</v>
      </c>
      <c r="C19" s="263" t="s">
        <v>37</v>
      </c>
      <c r="D19" s="264" t="s">
        <v>38</v>
      </c>
      <c r="E19" s="265" t="s">
        <v>39</v>
      </c>
      <c r="F19" s="265">
        <f>'0101'!$L$50</f>
        <v>500000</v>
      </c>
      <c r="G19" s="265">
        <f>'0101'!$M$50</f>
        <v>550000</v>
      </c>
      <c r="H19" s="265">
        <f>'0101'!$N$50</f>
        <v>0</v>
      </c>
      <c r="I19" s="266">
        <v>50011.477106853199</v>
      </c>
      <c r="J19" s="266">
        <v>95568.895389293277</v>
      </c>
      <c r="K19" s="265">
        <v>95000</v>
      </c>
      <c r="L19" s="266">
        <f t="shared" si="0"/>
        <v>1100580.3724961465</v>
      </c>
      <c r="M19" s="268"/>
      <c r="N19" s="245">
        <f t="shared" si="3"/>
        <v>78686.224154260184</v>
      </c>
      <c r="O19" s="245">
        <f t="shared" si="1"/>
        <v>5883.2843442420817</v>
      </c>
      <c r="P19" s="245">
        <f t="shared" si="2"/>
        <v>84569.50849850227</v>
      </c>
    </row>
    <row r="20" spans="1:16" s="249" customFormat="1" ht="21" customHeight="1">
      <c r="A20" s="261" t="s">
        <v>72</v>
      </c>
      <c r="B20" s="262">
        <v>40656</v>
      </c>
      <c r="C20" s="263" t="s">
        <v>40</v>
      </c>
      <c r="D20" s="264" t="s">
        <v>41</v>
      </c>
      <c r="E20" s="265" t="s">
        <v>117</v>
      </c>
      <c r="F20" s="265">
        <f>'0082'!$L$53</f>
        <v>500000</v>
      </c>
      <c r="G20" s="265">
        <f>'0082'!$M$53</f>
        <v>1200000</v>
      </c>
      <c r="H20" s="265">
        <f>'0082'!$N$53</f>
        <v>2515000</v>
      </c>
      <c r="I20" s="266">
        <v>38103.98255760243</v>
      </c>
      <c r="J20" s="266">
        <v>50524.536157473012</v>
      </c>
      <c r="K20" s="265">
        <v>50000</v>
      </c>
      <c r="L20" s="266">
        <f t="shared" si="0"/>
        <v>4253628.5187150752</v>
      </c>
      <c r="M20" s="268"/>
      <c r="N20" s="245">
        <f t="shared" si="3"/>
        <v>304114.06150507199</v>
      </c>
      <c r="O20" s="245">
        <f t="shared" si="1"/>
        <v>22738.28127029011</v>
      </c>
      <c r="P20" s="245">
        <f t="shared" si="2"/>
        <v>326852.34277536208</v>
      </c>
    </row>
    <row r="21" spans="1:16" s="249" customFormat="1" ht="21" customHeight="1">
      <c r="A21" s="261" t="s">
        <v>73</v>
      </c>
      <c r="B21" s="262">
        <v>40611</v>
      </c>
      <c r="C21" s="263" t="s">
        <v>42</v>
      </c>
      <c r="D21" s="264" t="s">
        <v>43</v>
      </c>
      <c r="E21" s="265" t="s">
        <v>44</v>
      </c>
      <c r="F21" s="265">
        <f>'0012'!$L$31</f>
        <v>500000</v>
      </c>
      <c r="G21" s="265">
        <f>'0012'!$M$31</f>
        <v>270000</v>
      </c>
      <c r="H21" s="265">
        <f>'0012'!$N$31</f>
        <v>0</v>
      </c>
      <c r="I21" s="266">
        <v>17464.325338901119</v>
      </c>
      <c r="J21" s="266">
        <v>23157.079072175129</v>
      </c>
      <c r="K21" s="265">
        <v>23000</v>
      </c>
      <c r="L21" s="266">
        <f t="shared" si="0"/>
        <v>787621.40441107622</v>
      </c>
      <c r="M21" s="268"/>
      <c r="N21" s="245">
        <f t="shared" si="3"/>
        <v>56311.157208466524</v>
      </c>
      <c r="O21" s="245">
        <f t="shared" si="1"/>
        <v>4210.3246555742753</v>
      </c>
      <c r="P21" s="245">
        <f t="shared" si="2"/>
        <v>60521.481864040798</v>
      </c>
    </row>
    <row r="22" spans="1:16" s="249" customFormat="1" ht="21" customHeight="1">
      <c r="A22" s="261" t="s">
        <v>74</v>
      </c>
      <c r="B22" s="262">
        <v>40663</v>
      </c>
      <c r="C22" s="263" t="s">
        <v>45</v>
      </c>
      <c r="D22" s="264" t="s">
        <v>46</v>
      </c>
      <c r="E22" s="265" t="s">
        <v>120</v>
      </c>
      <c r="F22" s="265">
        <f>'0013'!$L$51</f>
        <v>500000</v>
      </c>
      <c r="G22" s="265">
        <f>'0013'!$M$51</f>
        <v>1700000</v>
      </c>
      <c r="H22" s="265">
        <f>'0013'!$N$51</f>
        <v>672200</v>
      </c>
      <c r="I22" s="266">
        <v>57155.973836403653</v>
      </c>
      <c r="J22" s="266">
        <v>100166.33897171782</v>
      </c>
      <c r="K22" s="265">
        <v>100000</v>
      </c>
      <c r="L22" s="266">
        <f t="shared" si="0"/>
        <v>2929522.3128081216</v>
      </c>
      <c r="M22" s="268"/>
      <c r="N22" s="245">
        <f t="shared" si="3"/>
        <v>209446.81109269345</v>
      </c>
      <c r="O22" s="245">
        <f t="shared" si="1"/>
        <v>15660.112782096903</v>
      </c>
      <c r="P22" s="245">
        <f t="shared" si="2"/>
        <v>225106.92387479034</v>
      </c>
    </row>
    <row r="23" spans="1:16" s="249" customFormat="1" ht="21" customHeight="1">
      <c r="A23" s="261" t="s">
        <v>75</v>
      </c>
      <c r="B23" s="262">
        <v>40658</v>
      </c>
      <c r="C23" s="263" t="s">
        <v>47</v>
      </c>
      <c r="D23" s="264" t="s">
        <v>48</v>
      </c>
      <c r="E23" s="265" t="s">
        <v>123</v>
      </c>
      <c r="F23" s="265">
        <f>'0014'!$L$30</f>
        <v>200000</v>
      </c>
      <c r="G23" s="265">
        <f>'0014'!$M$30</f>
        <v>20000</v>
      </c>
      <c r="H23" s="265">
        <f>'0014'!$N$30</f>
        <v>0</v>
      </c>
      <c r="I23" s="266">
        <v>17464.325338901119</v>
      </c>
      <c r="J23" s="266">
        <v>23157.079072175129</v>
      </c>
      <c r="K23" s="265">
        <v>23000</v>
      </c>
      <c r="L23" s="266">
        <f t="shared" si="0"/>
        <v>237621.40441107625</v>
      </c>
      <c r="M23" s="268"/>
      <c r="N23" s="245">
        <f t="shared" si="3"/>
        <v>16988.792057897183</v>
      </c>
      <c r="O23" s="245">
        <f t="shared" si="1"/>
        <v>1270.2337088365584</v>
      </c>
      <c r="P23" s="245">
        <f t="shared" si="2"/>
        <v>18259.025766733743</v>
      </c>
    </row>
    <row r="24" spans="1:16" s="249" customFormat="1" ht="21" customHeight="1">
      <c r="A24" s="261" t="s">
        <v>76</v>
      </c>
      <c r="B24" s="262">
        <v>40682</v>
      </c>
      <c r="C24" s="263" t="s">
        <v>82</v>
      </c>
      <c r="D24" s="264" t="s">
        <v>83</v>
      </c>
      <c r="E24" s="265" t="s">
        <v>84</v>
      </c>
      <c r="F24" s="265">
        <f>'0015'!$L$102</f>
        <v>500000</v>
      </c>
      <c r="G24" s="265">
        <f>'0015'!$M$102</f>
        <v>2980000</v>
      </c>
      <c r="H24" s="265">
        <f>'0015'!$N$102</f>
        <v>1693000</v>
      </c>
      <c r="I24" s="266">
        <v>43422.663456267779</v>
      </c>
      <c r="J24" s="266">
        <v>120573.63708600706</v>
      </c>
      <c r="K24" s="265">
        <v>120000</v>
      </c>
      <c r="L24" s="266">
        <f t="shared" si="0"/>
        <v>5216996.3005422745</v>
      </c>
      <c r="M24" s="268"/>
      <c r="N24" s="245">
        <f t="shared" si="3"/>
        <v>372990.24276198685</v>
      </c>
      <c r="O24" s="245">
        <f t="shared" si="1"/>
        <v>27888.079258888189</v>
      </c>
      <c r="P24" s="245">
        <f t="shared" si="2"/>
        <v>400878.32202087506</v>
      </c>
    </row>
    <row r="25" spans="1:16" s="249" customFormat="1" ht="21" customHeight="1">
      <c r="A25" s="261" t="s">
        <v>77</v>
      </c>
      <c r="B25" s="262">
        <v>40663</v>
      </c>
      <c r="C25" s="263" t="s">
        <v>85</v>
      </c>
      <c r="D25" s="264" t="s">
        <v>86</v>
      </c>
      <c r="E25" s="265" t="s">
        <v>84</v>
      </c>
      <c r="F25" s="265">
        <f>'0016'!$L$30</f>
        <v>200000</v>
      </c>
      <c r="G25" s="265">
        <f>'0016'!$M$30</f>
        <v>120000</v>
      </c>
      <c r="H25" s="265">
        <f>'0016'!$N$30</f>
        <v>0</v>
      </c>
      <c r="I25" s="266">
        <v>25402.655038401623</v>
      </c>
      <c r="J25" s="266">
        <v>33683.024104982003</v>
      </c>
      <c r="K25" s="265">
        <v>33000</v>
      </c>
      <c r="L25" s="266">
        <f t="shared" si="0"/>
        <v>346085.67914338363</v>
      </c>
      <c r="M25" s="268"/>
      <c r="N25" s="245">
        <f t="shared" si="3"/>
        <v>24743.468088470752</v>
      </c>
      <c r="O25" s="245">
        <f t="shared" si="1"/>
        <v>1850.0424946273395</v>
      </c>
      <c r="P25" s="245">
        <f t="shared" si="2"/>
        <v>26593.51058309809</v>
      </c>
    </row>
    <row r="26" spans="1:16" s="249" customFormat="1" ht="21" customHeight="1">
      <c r="A26" s="261" t="s">
        <v>78</v>
      </c>
      <c r="B26" s="262">
        <v>40634</v>
      </c>
      <c r="C26" s="263" t="s">
        <v>90</v>
      </c>
      <c r="D26" s="264" t="s">
        <v>91</v>
      </c>
      <c r="E26" s="265" t="s">
        <v>128</v>
      </c>
      <c r="F26" s="265">
        <f>'0017'!$L$51</f>
        <v>500000</v>
      </c>
      <c r="G26" s="265">
        <f>'0017'!$M$51</f>
        <v>810000</v>
      </c>
      <c r="H26" s="265">
        <f>'0017'!$N$51</f>
        <v>160000</v>
      </c>
      <c r="I26" s="266">
        <v>108755.11688315697</v>
      </c>
      <c r="J26" s="266">
        <v>758569.72228426323</v>
      </c>
      <c r="K26" s="265">
        <v>758000</v>
      </c>
      <c r="L26" s="266">
        <f t="shared" si="0"/>
        <v>1579324.8391674203</v>
      </c>
      <c r="M26" s="268"/>
      <c r="N26" s="245">
        <f t="shared" si="3"/>
        <v>112914.16003110091</v>
      </c>
      <c r="O26" s="245">
        <f t="shared" si="1"/>
        <v>8442.4702938075152</v>
      </c>
      <c r="P26" s="245">
        <f t="shared" si="2"/>
        <v>121356.63032490843</v>
      </c>
    </row>
    <row r="27" spans="1:16" s="249" customFormat="1" ht="21" customHeight="1">
      <c r="A27" s="261" t="s">
        <v>79</v>
      </c>
      <c r="B27" s="262">
        <v>40634</v>
      </c>
      <c r="C27" s="263" t="s">
        <v>92</v>
      </c>
      <c r="D27" s="264" t="s">
        <v>95</v>
      </c>
      <c r="E27" s="265" t="s">
        <v>96</v>
      </c>
      <c r="F27" s="265">
        <f>'0102'!$L$50</f>
        <v>500000</v>
      </c>
      <c r="G27" s="265">
        <f>'0102'!$M$50</f>
        <v>650000</v>
      </c>
      <c r="H27" s="265">
        <f>'0102'!$N$50</f>
        <v>0</v>
      </c>
      <c r="I27" s="266">
        <v>25402.655038401623</v>
      </c>
      <c r="J27" s="266">
        <v>33683.024104982003</v>
      </c>
      <c r="K27" s="265">
        <v>33000</v>
      </c>
      <c r="L27" s="266">
        <f t="shared" si="0"/>
        <v>1176085.6791433836</v>
      </c>
      <c r="M27" s="268"/>
      <c r="N27" s="245">
        <f t="shared" si="3"/>
        <v>84084.491861148126</v>
      </c>
      <c r="O27" s="245">
        <f t="shared" si="1"/>
        <v>6286.9070142497121</v>
      </c>
      <c r="P27" s="245">
        <f t="shared" si="2"/>
        <v>90371.398875397834</v>
      </c>
    </row>
    <row r="28" spans="1:16" s="249" customFormat="1" ht="21" customHeight="1">
      <c r="A28" s="261" t="s">
        <v>80</v>
      </c>
      <c r="B28" s="262">
        <v>40634</v>
      </c>
      <c r="C28" s="263" t="s">
        <v>93</v>
      </c>
      <c r="D28" s="264" t="s">
        <v>97</v>
      </c>
      <c r="E28" s="265" t="s">
        <v>96</v>
      </c>
      <c r="F28" s="265">
        <f>'0097'!$L$39</f>
        <v>500000</v>
      </c>
      <c r="G28" s="265">
        <f>'0097'!$M$39</f>
        <v>1150000</v>
      </c>
      <c r="H28" s="265">
        <f>'0097'!$N$39</f>
        <v>0</v>
      </c>
      <c r="I28" s="266">
        <v>33340.98473790213</v>
      </c>
      <c r="J28" s="266">
        <v>63712.596926195525</v>
      </c>
      <c r="K28" s="265">
        <v>63000</v>
      </c>
      <c r="L28" s="266">
        <f t="shared" si="0"/>
        <v>1684053.5816640977</v>
      </c>
      <c r="M28" s="268"/>
      <c r="N28" s="245">
        <f t="shared" si="3"/>
        <v>120401.76340239965</v>
      </c>
      <c r="O28" s="245">
        <f t="shared" si="1"/>
        <v>9002.3103441306193</v>
      </c>
      <c r="P28" s="245">
        <f t="shared" si="2"/>
        <v>129404.07374653027</v>
      </c>
    </row>
    <row r="29" spans="1:16" s="249" customFormat="1" ht="21" customHeight="1">
      <c r="A29" s="261" t="s">
        <v>81</v>
      </c>
      <c r="B29" s="262">
        <v>40634</v>
      </c>
      <c r="C29" s="263" t="s">
        <v>94</v>
      </c>
      <c r="D29" s="264" t="s">
        <v>98</v>
      </c>
      <c r="E29" s="265" t="s">
        <v>129</v>
      </c>
      <c r="F29" s="265">
        <f>'0020'!$L$78</f>
        <v>500000</v>
      </c>
      <c r="G29" s="265">
        <f>'0020'!$M$78</f>
        <v>3585000</v>
      </c>
      <c r="H29" s="265">
        <f>'0020'!$N$78</f>
        <v>252000</v>
      </c>
      <c r="I29" s="266">
        <v>74223.382690329745</v>
      </c>
      <c r="J29" s="266">
        <v>127673.02773935428</v>
      </c>
      <c r="K29" s="265">
        <v>127000</v>
      </c>
      <c r="L29" s="266">
        <f t="shared" si="0"/>
        <v>4411896.4104296844</v>
      </c>
      <c r="M29" s="268"/>
      <c r="N29" s="245">
        <f t="shared" si="3"/>
        <v>315429.45755891316</v>
      </c>
      <c r="O29" s="245">
        <f t="shared" si="1"/>
        <v>23584.321262270812</v>
      </c>
      <c r="P29" s="245">
        <f t="shared" si="2"/>
        <v>339013.77882118395</v>
      </c>
    </row>
    <row r="30" spans="1:16" s="249" customFormat="1" ht="21" customHeight="1">
      <c r="A30" s="261" t="s">
        <v>131</v>
      </c>
      <c r="B30" s="262">
        <v>40698</v>
      </c>
      <c r="C30" s="263" t="s">
        <v>251</v>
      </c>
      <c r="D30" s="264" t="s">
        <v>254</v>
      </c>
      <c r="E30" s="265" t="s">
        <v>257</v>
      </c>
      <c r="F30" s="265">
        <f>'0021'!$L$30</f>
        <v>200000</v>
      </c>
      <c r="G30" s="265">
        <f>'0021'!$M$30</f>
        <v>40000</v>
      </c>
      <c r="H30" s="265">
        <f>'0021'!$N$30</f>
        <v>0</v>
      </c>
      <c r="I30" s="266">
        <v>19051.991278801215</v>
      </c>
      <c r="J30" s="266">
        <v>25262.268078736506</v>
      </c>
      <c r="K30" s="265">
        <v>25000</v>
      </c>
      <c r="L30" s="266">
        <f t="shared" si="0"/>
        <v>259314.25935753773</v>
      </c>
      <c r="M30" s="268"/>
      <c r="N30" s="245">
        <f t="shared" si="3"/>
        <v>18539.727264011897</v>
      </c>
      <c r="O30" s="245">
        <f t="shared" si="1"/>
        <v>1386.1954659947146</v>
      </c>
      <c r="P30" s="245">
        <f t="shared" si="2"/>
        <v>19925.922730006612</v>
      </c>
    </row>
    <row r="31" spans="1:16" s="249" customFormat="1" ht="21" customHeight="1">
      <c r="A31" s="261" t="s">
        <v>132</v>
      </c>
      <c r="B31" s="262">
        <v>40698</v>
      </c>
      <c r="C31" s="263" t="s">
        <v>252</v>
      </c>
      <c r="D31" s="264" t="s">
        <v>255</v>
      </c>
      <c r="E31" s="265" t="s">
        <v>19</v>
      </c>
      <c r="F31" s="265">
        <f>'0094'!$L$43</f>
        <v>500000</v>
      </c>
      <c r="G31" s="265">
        <f>'0094'!$M$43</f>
        <v>250000</v>
      </c>
      <c r="H31" s="265">
        <f>'0094'!$N$43</f>
        <v>0</v>
      </c>
      <c r="I31" s="266">
        <v>15876.659399001015</v>
      </c>
      <c r="J31" s="266">
        <v>21051.890065613756</v>
      </c>
      <c r="K31" s="265">
        <v>21000</v>
      </c>
      <c r="L31" s="266">
        <f t="shared" si="0"/>
        <v>765928.54946461483</v>
      </c>
      <c r="M31" s="268"/>
      <c r="N31" s="245">
        <f t="shared" si="3"/>
        <v>54760.222002351817</v>
      </c>
      <c r="O31" s="245">
        <f t="shared" si="1"/>
        <v>4094.3628984161196</v>
      </c>
      <c r="P31" s="245">
        <f t="shared" si="2"/>
        <v>58854.584900767935</v>
      </c>
    </row>
    <row r="32" spans="1:16" s="249" customFormat="1" ht="21" customHeight="1">
      <c r="A32" s="261" t="s">
        <v>133</v>
      </c>
      <c r="B32" s="262">
        <v>40698</v>
      </c>
      <c r="C32" s="263" t="s">
        <v>253</v>
      </c>
      <c r="D32" s="264" t="s">
        <v>256</v>
      </c>
      <c r="E32" s="265" t="s">
        <v>258</v>
      </c>
      <c r="F32" s="265">
        <f>'0023'!$L$67</f>
        <v>500000</v>
      </c>
      <c r="G32" s="265">
        <f>'0023'!$M$67</f>
        <v>840000</v>
      </c>
      <c r="H32" s="265">
        <f>'0023'!$N$67</f>
        <v>191750</v>
      </c>
      <c r="I32" s="269">
        <f>77974.2434733437-50000</f>
        <v>27974.243473343697</v>
      </c>
      <c r="J32" s="266">
        <v>108218.2429623762</v>
      </c>
      <c r="K32" s="265">
        <v>108000</v>
      </c>
      <c r="L32" s="266">
        <f t="shared" si="0"/>
        <v>1559942.48643572</v>
      </c>
      <c r="M32" s="268"/>
      <c r="N32" s="245">
        <f t="shared" si="3"/>
        <v>111528.4146645681</v>
      </c>
      <c r="O32" s="245">
        <f t="shared" si="1"/>
        <v>8338.859603274881</v>
      </c>
      <c r="P32" s="245">
        <f t="shared" si="2"/>
        <v>119867.27426784298</v>
      </c>
    </row>
    <row r="33" spans="1:17" s="249" customFormat="1" ht="21" customHeight="1">
      <c r="A33" s="261" t="s">
        <v>134</v>
      </c>
      <c r="B33" s="262">
        <v>40709</v>
      </c>
      <c r="C33" s="263" t="s">
        <v>263</v>
      </c>
      <c r="D33" s="264" t="s">
        <v>264</v>
      </c>
      <c r="E33" s="265" t="s">
        <v>265</v>
      </c>
      <c r="F33" s="265">
        <f>'0092'!$L$50</f>
        <v>500000</v>
      </c>
      <c r="G33" s="265">
        <f>'0092'!$M$50</f>
        <v>600000</v>
      </c>
      <c r="H33" s="265">
        <f>'0092'!$N$50</f>
        <v>0</v>
      </c>
      <c r="I33" s="266">
        <v>23814.989098501523</v>
      </c>
      <c r="J33" s="266">
        <v>31577.835098420634</v>
      </c>
      <c r="K33" s="265">
        <v>31000</v>
      </c>
      <c r="L33" s="266">
        <f t="shared" si="0"/>
        <v>1124392.8241969224</v>
      </c>
      <c r="M33" s="268"/>
      <c r="N33" s="245">
        <f t="shared" si="3"/>
        <v>80388.700374093285</v>
      </c>
      <c r="O33" s="245">
        <f t="shared" si="1"/>
        <v>6010.5766599967728</v>
      </c>
      <c r="P33" s="245">
        <f t="shared" si="2"/>
        <v>86399.277034090061</v>
      </c>
    </row>
    <row r="34" spans="1:17" s="249" customFormat="1" ht="21" customHeight="1">
      <c r="A34" s="261" t="s">
        <v>135</v>
      </c>
      <c r="B34" s="262">
        <v>40709</v>
      </c>
      <c r="C34" s="263" t="s">
        <v>266</v>
      </c>
      <c r="D34" s="264" t="s">
        <v>267</v>
      </c>
      <c r="E34" s="265" t="s">
        <v>265</v>
      </c>
      <c r="F34" s="265">
        <f>'0091'!$L$50</f>
        <v>500000</v>
      </c>
      <c r="G34" s="265">
        <f>'0091'!$M$50</f>
        <v>600000</v>
      </c>
      <c r="H34" s="265">
        <f>'0091'!$N$50</f>
        <v>0</v>
      </c>
      <c r="I34" s="266">
        <v>23814.989098501523</v>
      </c>
      <c r="J34" s="266">
        <v>31577.835098420634</v>
      </c>
      <c r="K34" s="265">
        <v>31000</v>
      </c>
      <c r="L34" s="266">
        <f t="shared" si="0"/>
        <v>1124392.8241969224</v>
      </c>
      <c r="M34" s="268"/>
      <c r="N34" s="245">
        <f t="shared" si="3"/>
        <v>80388.700374093285</v>
      </c>
      <c r="O34" s="245">
        <f t="shared" si="1"/>
        <v>6010.5766599967728</v>
      </c>
      <c r="P34" s="245">
        <f t="shared" si="2"/>
        <v>86399.277034090061</v>
      </c>
    </row>
    <row r="35" spans="1:17" s="249" customFormat="1" ht="21" customHeight="1">
      <c r="A35" s="261" t="s">
        <v>136</v>
      </c>
      <c r="B35" s="262">
        <v>40709</v>
      </c>
      <c r="C35" s="263" t="s">
        <v>268</v>
      </c>
      <c r="D35" s="264" t="s">
        <v>269</v>
      </c>
      <c r="E35" s="265" t="s">
        <v>265</v>
      </c>
      <c r="F35" s="265">
        <f>'0026'!$L$55</f>
        <v>500000</v>
      </c>
      <c r="G35" s="265">
        <f>'0026'!$M$55</f>
        <v>0</v>
      </c>
      <c r="H35" s="265">
        <f>'0026'!$N$55</f>
        <v>0</v>
      </c>
      <c r="I35" s="266">
        <v>23814.989098501523</v>
      </c>
      <c r="J35" s="266">
        <v>31577.835098420634</v>
      </c>
      <c r="K35" s="265">
        <v>31000</v>
      </c>
      <c r="L35" s="266">
        <f t="shared" si="0"/>
        <v>524392.82419692213</v>
      </c>
      <c r="M35" s="268"/>
      <c r="N35" s="245">
        <f t="shared" si="3"/>
        <v>37491.574755290349</v>
      </c>
      <c r="O35" s="245">
        <f t="shared" si="1"/>
        <v>2803.2047181010803</v>
      </c>
      <c r="P35" s="245">
        <f t="shared" si="2"/>
        <v>40294.779473391427</v>
      </c>
    </row>
    <row r="36" spans="1:17" s="249" customFormat="1" ht="21" customHeight="1">
      <c r="A36" s="261" t="s">
        <v>137</v>
      </c>
      <c r="B36" s="262">
        <v>40709</v>
      </c>
      <c r="C36" s="263" t="s">
        <v>270</v>
      </c>
      <c r="D36" s="264" t="s">
        <v>271</v>
      </c>
      <c r="E36" s="265" t="s">
        <v>265</v>
      </c>
      <c r="F36" s="265">
        <f>'0027'!$L$50</f>
        <v>200000</v>
      </c>
      <c r="G36" s="265">
        <f>'0027'!$M$50</f>
        <v>100000</v>
      </c>
      <c r="H36" s="265">
        <f>'0027'!$N$50</f>
        <v>0</v>
      </c>
      <c r="I36" s="266">
        <v>23814.989098501523</v>
      </c>
      <c r="J36" s="266">
        <v>31577.835098420634</v>
      </c>
      <c r="K36" s="265">
        <v>31000</v>
      </c>
      <c r="L36" s="266">
        <f t="shared" si="0"/>
        <v>324392.82419692213</v>
      </c>
      <c r="M36" s="268"/>
      <c r="N36" s="245">
        <f t="shared" si="3"/>
        <v>23192.532882356038</v>
      </c>
      <c r="O36" s="245">
        <f t="shared" si="1"/>
        <v>1734.0807374691828</v>
      </c>
      <c r="P36" s="245">
        <f t="shared" si="2"/>
        <v>24926.613619825221</v>
      </c>
    </row>
    <row r="37" spans="1:17" s="249" customFormat="1" ht="21" customHeight="1">
      <c r="A37" s="261" t="s">
        <v>138</v>
      </c>
      <c r="B37" s="262">
        <v>40709</v>
      </c>
      <c r="C37" s="263" t="s">
        <v>342</v>
      </c>
      <c r="D37" s="264" t="s">
        <v>272</v>
      </c>
      <c r="E37" s="265" t="s">
        <v>265</v>
      </c>
      <c r="F37" s="265">
        <f>'0093'!$L$30</f>
        <v>500000</v>
      </c>
      <c r="G37" s="265">
        <f>'0093'!$M$30</f>
        <v>600000</v>
      </c>
      <c r="H37" s="265">
        <f>'0093'!$N$30</f>
        <v>0</v>
      </c>
      <c r="I37" s="266">
        <v>23814.989098501523</v>
      </c>
      <c r="J37" s="266">
        <v>31577.835098420634</v>
      </c>
      <c r="K37" s="265">
        <v>31000</v>
      </c>
      <c r="L37" s="266">
        <f t="shared" si="0"/>
        <v>1124392.8241969224</v>
      </c>
      <c r="M37" s="268"/>
      <c r="N37" s="245">
        <f t="shared" si="3"/>
        <v>80388.700374093285</v>
      </c>
      <c r="O37" s="245">
        <f t="shared" si="1"/>
        <v>6010.5766599967728</v>
      </c>
      <c r="P37" s="245">
        <f t="shared" si="2"/>
        <v>86399.277034090061</v>
      </c>
    </row>
    <row r="38" spans="1:17" s="249" customFormat="1" ht="21" customHeight="1">
      <c r="A38" s="261" t="s">
        <v>139</v>
      </c>
      <c r="B38" s="262">
        <v>40732</v>
      </c>
      <c r="C38" s="263" t="s">
        <v>275</v>
      </c>
      <c r="D38" s="264" t="s">
        <v>313</v>
      </c>
      <c r="E38" s="265" t="s">
        <v>96</v>
      </c>
      <c r="F38" s="265">
        <f>'0029'!$L$52</f>
        <v>500000</v>
      </c>
      <c r="G38" s="265">
        <f>'0029'!$M$52</f>
        <v>250000</v>
      </c>
      <c r="H38" s="265">
        <f>'0029'!$N$52</f>
        <v>0</v>
      </c>
      <c r="I38" s="266">
        <v>23814.989098501523</v>
      </c>
      <c r="J38" s="266">
        <v>31577.835098420634</v>
      </c>
      <c r="K38" s="265">
        <v>31000</v>
      </c>
      <c r="L38" s="266">
        <f t="shared" si="0"/>
        <v>774392.82419692213</v>
      </c>
      <c r="M38" s="268"/>
      <c r="N38" s="245">
        <f t="shared" si="3"/>
        <v>55365.377096458229</v>
      </c>
      <c r="O38" s="245">
        <f t="shared" si="1"/>
        <v>4139.6096938909513</v>
      </c>
      <c r="P38" s="245">
        <f t="shared" si="2"/>
        <v>59504.986790349183</v>
      </c>
    </row>
    <row r="39" spans="1:17" s="249" customFormat="1" ht="21" customHeight="1">
      <c r="A39" s="261" t="s">
        <v>140</v>
      </c>
      <c r="B39" s="262">
        <v>40732</v>
      </c>
      <c r="C39" s="263" t="s">
        <v>278</v>
      </c>
      <c r="D39" s="264" t="s">
        <v>279</v>
      </c>
      <c r="E39" s="265" t="s">
        <v>280</v>
      </c>
      <c r="F39" s="265">
        <f>'0030'!$L$65</f>
        <v>500000</v>
      </c>
      <c r="G39" s="265">
        <f>'0030'!$M$65</f>
        <v>370000</v>
      </c>
      <c r="H39" s="265">
        <f>'0030'!$N$65</f>
        <v>0</v>
      </c>
      <c r="I39" s="266">
        <v>31356.402313027007</v>
      </c>
      <c r="J39" s="266">
        <v>68394.9710886463</v>
      </c>
      <c r="K39" s="265">
        <v>68000</v>
      </c>
      <c r="L39" s="266">
        <f t="shared" si="0"/>
        <v>901751.37340167339</v>
      </c>
      <c r="M39" s="268"/>
      <c r="N39" s="245">
        <f t="shared" si="3"/>
        <v>64470.903236232734</v>
      </c>
      <c r="O39" s="245">
        <f t="shared" si="1"/>
        <v>4820.420089357387</v>
      </c>
      <c r="P39" s="245">
        <f t="shared" si="2"/>
        <v>69291.323325590114</v>
      </c>
    </row>
    <row r="40" spans="1:17" s="249" customFormat="1" ht="21" customHeight="1">
      <c r="A40" s="261" t="s">
        <v>141</v>
      </c>
      <c r="B40" s="262">
        <v>40756</v>
      </c>
      <c r="C40" s="263" t="s">
        <v>287</v>
      </c>
      <c r="D40" s="264" t="s">
        <v>288</v>
      </c>
      <c r="E40" s="265" t="s">
        <v>289</v>
      </c>
      <c r="F40" s="265">
        <f>'0031'!$L$30</f>
        <v>500000</v>
      </c>
      <c r="G40" s="265">
        <f>'0031'!$M$30</f>
        <v>90000</v>
      </c>
      <c r="H40" s="265">
        <f>'0031'!$N$30</f>
        <v>10000</v>
      </c>
      <c r="I40" s="266">
        <v>19845.824248751269</v>
      </c>
      <c r="J40" s="266">
        <v>26314.862582017195</v>
      </c>
      <c r="K40" s="265">
        <v>26000</v>
      </c>
      <c r="L40" s="266">
        <f t="shared" si="0"/>
        <v>620160.68683076848</v>
      </c>
      <c r="M40" s="268"/>
      <c r="N40" s="245">
        <f t="shared" si="3"/>
        <v>44338.518144704292</v>
      </c>
      <c r="O40" s="245">
        <f t="shared" si="1"/>
        <v>3315.143310679613</v>
      </c>
      <c r="P40" s="245">
        <f t="shared" si="2"/>
        <v>47653.661455383903</v>
      </c>
    </row>
    <row r="41" spans="1:17" s="249" customFormat="1" ht="21" customHeight="1">
      <c r="A41" s="261" t="s">
        <v>142</v>
      </c>
      <c r="B41" s="262">
        <v>40780</v>
      </c>
      <c r="C41" s="263" t="s">
        <v>283</v>
      </c>
      <c r="D41" s="264" t="s">
        <v>284</v>
      </c>
      <c r="E41" s="265" t="s">
        <v>285</v>
      </c>
      <c r="F41" s="265">
        <f>'0087'!$L$50</f>
        <v>500000</v>
      </c>
      <c r="G41" s="265">
        <f>'0087'!$M$50</f>
        <v>300000</v>
      </c>
      <c r="H41" s="265">
        <f>'0087'!$N$50</f>
        <v>300000</v>
      </c>
      <c r="I41" s="266">
        <v>25402.655038401623</v>
      </c>
      <c r="J41" s="266">
        <v>33683.024104982003</v>
      </c>
      <c r="K41" s="265">
        <v>33000</v>
      </c>
      <c r="L41" s="266">
        <f t="shared" si="0"/>
        <v>1126085.6791433836</v>
      </c>
      <c r="M41" s="268"/>
      <c r="N41" s="245">
        <f t="shared" si="3"/>
        <v>80509.73139291456</v>
      </c>
      <c r="O41" s="245">
        <f t="shared" si="1"/>
        <v>6019.6260190917383</v>
      </c>
      <c r="P41" s="245">
        <f t="shared" si="2"/>
        <v>86529.357412006299</v>
      </c>
    </row>
    <row r="42" spans="1:17" s="249" customFormat="1" ht="21" customHeight="1">
      <c r="A42" s="261" t="s">
        <v>143</v>
      </c>
      <c r="B42" s="262">
        <v>40839</v>
      </c>
      <c r="C42" s="263" t="s">
        <v>308</v>
      </c>
      <c r="D42" s="264" t="s">
        <v>309</v>
      </c>
      <c r="E42" s="265" t="s">
        <v>310</v>
      </c>
      <c r="F42" s="265">
        <f>'0103'!$L$50</f>
        <v>500000</v>
      </c>
      <c r="G42" s="265">
        <f>'0103'!$M$50</f>
        <v>750000</v>
      </c>
      <c r="H42" s="265">
        <f>'0103'!$N$50</f>
        <v>600000</v>
      </c>
      <c r="I42" s="266">
        <v>1587.6659399001014</v>
      </c>
      <c r="J42" s="266">
        <v>2105.1890065613752</v>
      </c>
      <c r="K42" s="265">
        <v>0</v>
      </c>
      <c r="L42" s="266">
        <f t="shared" si="0"/>
        <v>1853692.8549464615</v>
      </c>
      <c r="M42" s="268"/>
      <c r="N42" s="245">
        <f t="shared" si="3"/>
        <v>132530.15876219299</v>
      </c>
      <c r="O42" s="245">
        <f t="shared" si="1"/>
        <v>9909.1374197463356</v>
      </c>
      <c r="P42" s="245">
        <f t="shared" si="2"/>
        <v>142439.29618193934</v>
      </c>
    </row>
    <row r="43" spans="1:17" s="249" customFormat="1" ht="21" customHeight="1">
      <c r="A43" s="261" t="s">
        <v>144</v>
      </c>
      <c r="B43" s="262">
        <v>40845</v>
      </c>
      <c r="C43" s="263" t="s">
        <v>294</v>
      </c>
      <c r="D43" s="264" t="s">
        <v>314</v>
      </c>
      <c r="E43" s="265" t="s">
        <v>265</v>
      </c>
      <c r="F43" s="265">
        <f>'0034'!$L$54</f>
        <v>500000</v>
      </c>
      <c r="G43" s="265">
        <f>'0034'!$M$54</f>
        <v>370000</v>
      </c>
      <c r="H43" s="265">
        <f>'0034'!$N$54</f>
        <v>0</v>
      </c>
      <c r="I43" s="266">
        <v>17464.325338901119</v>
      </c>
      <c r="J43" s="266">
        <v>23157.079072175129</v>
      </c>
      <c r="K43" s="265">
        <v>23000</v>
      </c>
      <c r="L43" s="266">
        <f t="shared" si="0"/>
        <v>887621.40441107622</v>
      </c>
      <c r="M43" s="268"/>
      <c r="N43" s="245">
        <f t="shared" si="3"/>
        <v>63460.678144933678</v>
      </c>
      <c r="O43" s="245">
        <f t="shared" si="1"/>
        <v>4744.8866458902248</v>
      </c>
      <c r="P43" s="245">
        <f t="shared" si="2"/>
        <v>68205.564790823904</v>
      </c>
    </row>
    <row r="44" spans="1:17" s="249" customFormat="1" ht="21" customHeight="1">
      <c r="A44" s="261" t="s">
        <v>145</v>
      </c>
      <c r="B44" s="262">
        <v>41027</v>
      </c>
      <c r="C44" s="263" t="s">
        <v>318</v>
      </c>
      <c r="D44" s="264" t="s">
        <v>395</v>
      </c>
      <c r="E44" s="265" t="s">
        <v>319</v>
      </c>
      <c r="F44" s="265">
        <f>'0104'!$L$62</f>
        <v>500000</v>
      </c>
      <c r="G44" s="265">
        <f>'0104'!$M$62</f>
        <v>900000</v>
      </c>
      <c r="H44" s="265">
        <f>'0104'!$N$62</f>
        <v>400000</v>
      </c>
      <c r="I44" s="266">
        <v>19542.023893010199</v>
      </c>
      <c r="J44" s="266">
        <v>95035.524490848795</v>
      </c>
      <c r="K44" s="265">
        <v>95000</v>
      </c>
      <c r="L44" s="266">
        <f t="shared" si="0"/>
        <v>1819577.548383859</v>
      </c>
      <c r="M44" s="268"/>
      <c r="N44" s="245">
        <f>(L44/$L$163)*100%*(8/12)*$N$9</f>
        <v>86727.385184639832</v>
      </c>
      <c r="O44" s="245"/>
      <c r="P44" s="245">
        <f t="shared" si="2"/>
        <v>86727.385184639832</v>
      </c>
      <c r="Q44" s="245">
        <f>(L44/$L$163)*100%*(4/12)*$N$9</f>
        <v>43363.692592319916</v>
      </c>
    </row>
    <row r="45" spans="1:17" s="249" customFormat="1" ht="21" customHeight="1">
      <c r="A45" s="261" t="s">
        <v>146</v>
      </c>
      <c r="B45" s="262">
        <v>41061</v>
      </c>
      <c r="C45" s="263" t="s">
        <v>330</v>
      </c>
      <c r="D45" s="264" t="s">
        <v>331</v>
      </c>
      <c r="E45" s="265" t="s">
        <v>332</v>
      </c>
      <c r="F45" s="265">
        <f>'0036'!$L$51</f>
        <v>500000</v>
      </c>
      <c r="G45" s="265">
        <f>'0036'!$M$51</f>
        <v>875000</v>
      </c>
      <c r="H45" s="265">
        <f>'0036'!$N$51</f>
        <v>59000</v>
      </c>
      <c r="I45" s="266">
        <v>28985.349463260587</v>
      </c>
      <c r="J45" s="266">
        <v>93908.539108100624</v>
      </c>
      <c r="K45" s="265">
        <v>93000</v>
      </c>
      <c r="L45" s="266">
        <f t="shared" si="0"/>
        <v>1463893.8885713611</v>
      </c>
      <c r="M45" s="268"/>
      <c r="N45" s="245">
        <f>(L45/$L$163)*100%*(7/12)*$N$9</f>
        <v>61052.483363125684</v>
      </c>
      <c r="O45" s="245"/>
      <c r="P45" s="245">
        <f t="shared" si="2"/>
        <v>61052.483363125684</v>
      </c>
      <c r="Q45" s="245">
        <f>(L45/$L$163)*100%*(5/12)*$N$9</f>
        <v>43608.916687946919</v>
      </c>
    </row>
    <row r="46" spans="1:17" s="249" customFormat="1" ht="21" customHeight="1">
      <c r="A46" s="261" t="s">
        <v>147</v>
      </c>
      <c r="B46" s="262">
        <v>41116</v>
      </c>
      <c r="C46" s="263" t="s">
        <v>353</v>
      </c>
      <c r="D46" s="264" t="s">
        <v>349</v>
      </c>
      <c r="E46" s="265" t="s">
        <v>350</v>
      </c>
      <c r="F46" s="265">
        <f>'0037'!$L$50</f>
        <v>500000</v>
      </c>
      <c r="G46" s="265">
        <f>'0037'!$M$50</f>
        <v>1575000</v>
      </c>
      <c r="H46" s="265">
        <f>'0037'!$N$50</f>
        <v>0</v>
      </c>
      <c r="I46" s="266">
        <v>18618.544105383215</v>
      </c>
      <c r="J46" s="266">
        <v>87144.017345246175</v>
      </c>
      <c r="K46" s="265">
        <v>87000</v>
      </c>
      <c r="L46" s="266">
        <f t="shared" si="0"/>
        <v>2093762.5614506295</v>
      </c>
      <c r="M46" s="268"/>
      <c r="N46" s="245">
        <f>(L46/$L$163)*100%*(5/12)*$N$9</f>
        <v>62372.496954509887</v>
      </c>
      <c r="O46" s="245"/>
      <c r="P46" s="245">
        <f t="shared" si="2"/>
        <v>62372.496954509887</v>
      </c>
      <c r="Q46" s="245">
        <f>(L46/$L$163)*100%*(7/12)*$N$9</f>
        <v>87321.495736313838</v>
      </c>
    </row>
    <row r="47" spans="1:17" s="249" customFormat="1" ht="21" customHeight="1">
      <c r="A47" s="261" t="s">
        <v>148</v>
      </c>
      <c r="B47" s="262">
        <v>41117</v>
      </c>
      <c r="C47" s="263" t="s">
        <v>354</v>
      </c>
      <c r="D47" s="264" t="s">
        <v>396</v>
      </c>
      <c r="E47" s="265" t="s">
        <v>355</v>
      </c>
      <c r="F47" s="265">
        <f>'0038'!$L$49</f>
        <v>500000</v>
      </c>
      <c r="G47" s="265">
        <f>'0038'!$M$49</f>
        <v>2050000</v>
      </c>
      <c r="H47" s="265">
        <f>'0038'!$N$49</f>
        <v>150000</v>
      </c>
      <c r="I47" s="266">
        <v>29789.670568613143</v>
      </c>
      <c r="J47" s="266">
        <v>197941.31111761378</v>
      </c>
      <c r="K47" s="265">
        <v>197000</v>
      </c>
      <c r="L47" s="266">
        <f t="shared" si="0"/>
        <v>2730730.981686227</v>
      </c>
      <c r="M47" s="268"/>
      <c r="N47" s="245">
        <f>(L47/$L$163)*100%*(5/12)*$N$9</f>
        <v>81347.576355938276</v>
      </c>
      <c r="O47" s="245"/>
      <c r="P47" s="245">
        <f t="shared" si="2"/>
        <v>81347.576355938276</v>
      </c>
      <c r="Q47" s="245">
        <f>(L47/$L$163)*100%*(7/12)*$N$9</f>
        <v>113886.60689831361</v>
      </c>
    </row>
    <row r="48" spans="1:17" s="249" customFormat="1" ht="21" customHeight="1">
      <c r="A48" s="261" t="s">
        <v>149</v>
      </c>
      <c r="B48" s="262">
        <v>41229</v>
      </c>
      <c r="C48" s="263" t="s">
        <v>369</v>
      </c>
      <c r="D48" s="264" t="s">
        <v>378</v>
      </c>
      <c r="E48" s="265" t="s">
        <v>370</v>
      </c>
      <c r="F48" s="265">
        <f>'0105'!$L$50</f>
        <v>500000</v>
      </c>
      <c r="G48" s="265">
        <f>'0105'!$M$50</f>
        <v>50000</v>
      </c>
      <c r="H48" s="265">
        <f>'0105'!$N$50</f>
        <v>0</v>
      </c>
      <c r="I48" s="266">
        <v>3574.7604682335768</v>
      </c>
      <c r="J48" s="266">
        <v>117370.37071846552</v>
      </c>
      <c r="K48" s="265">
        <v>117000</v>
      </c>
      <c r="L48" s="266">
        <f t="shared" si="0"/>
        <v>553945.13118669915</v>
      </c>
      <c r="M48" s="268"/>
      <c r="N48" s="245">
        <f>(L48/$L$163)*100%*(1/12)*$N$9</f>
        <v>3300.3685942277912</v>
      </c>
      <c r="O48" s="245"/>
      <c r="P48" s="245">
        <f t="shared" si="2"/>
        <v>3300.3685942277912</v>
      </c>
      <c r="Q48" s="245">
        <f>(L48/$L$163)*100%*(11/12)*$N$9</f>
        <v>36304.054536505704</v>
      </c>
    </row>
    <row r="49" spans="1:17" s="249" customFormat="1" ht="21" customHeight="1">
      <c r="A49" s="261" t="s">
        <v>150</v>
      </c>
      <c r="B49" s="262">
        <v>41263</v>
      </c>
      <c r="C49" s="263" t="s">
        <v>376</v>
      </c>
      <c r="D49" s="264" t="s">
        <v>377</v>
      </c>
      <c r="E49" s="265" t="s">
        <v>370</v>
      </c>
      <c r="F49" s="265">
        <f>'0040'!$L$50</f>
        <v>500000</v>
      </c>
      <c r="G49" s="265">
        <f>'0040'!$M$50</f>
        <v>600000</v>
      </c>
      <c r="H49" s="265">
        <f>'0040'!$N$50</f>
        <v>0</v>
      </c>
      <c r="I49" s="266">
        <v>2978.9670568613137</v>
      </c>
      <c r="J49" s="266">
        <v>58801.386688574647</v>
      </c>
      <c r="K49" s="265">
        <v>58000</v>
      </c>
      <c r="L49" s="266">
        <f t="shared" si="0"/>
        <v>1103780.3537454361</v>
      </c>
      <c r="M49" s="268"/>
      <c r="N49" s="245">
        <f>(L49/$L$163)*100%*(1/12)*$N$9</f>
        <v>6576.2506236367635</v>
      </c>
      <c r="O49" s="245"/>
      <c r="P49" s="245">
        <f t="shared" si="2"/>
        <v>6576.2506236367635</v>
      </c>
      <c r="Q49" s="245">
        <f>(L49/$L$163)*100%*(11/12)*$N$9</f>
        <v>72338.756860004403</v>
      </c>
    </row>
    <row r="50" spans="1:17" s="249" customFormat="1" ht="21" customHeight="1">
      <c r="A50" s="261" t="s">
        <v>151</v>
      </c>
      <c r="B50" s="262">
        <v>41326</v>
      </c>
      <c r="C50" s="263" t="s">
        <v>401</v>
      </c>
      <c r="D50" s="264" t="s">
        <v>473</v>
      </c>
      <c r="E50" s="265" t="s">
        <v>402</v>
      </c>
      <c r="F50" s="265">
        <f>'0041'!$L$87</f>
        <v>500000</v>
      </c>
      <c r="G50" s="265">
        <f>'0041'!$M$87</f>
        <v>2115000</v>
      </c>
      <c r="H50" s="265">
        <f>'0041'!$N$87</f>
        <v>127000</v>
      </c>
      <c r="I50" s="265">
        <v>0</v>
      </c>
      <c r="J50" s="266">
        <v>65735.222341978777</v>
      </c>
      <c r="K50" s="265">
        <v>65000</v>
      </c>
      <c r="L50" s="266">
        <f t="shared" si="0"/>
        <v>2742735.2223419789</v>
      </c>
      <c r="M50" s="268"/>
      <c r="N50" s="253"/>
      <c r="O50" s="253"/>
      <c r="P50" s="253"/>
    </row>
    <row r="51" spans="1:17" s="249" customFormat="1" ht="21" customHeight="1">
      <c r="A51" s="261" t="s">
        <v>152</v>
      </c>
      <c r="B51" s="262">
        <v>41340</v>
      </c>
      <c r="C51" s="263" t="s">
        <v>409</v>
      </c>
      <c r="D51" s="264" t="s">
        <v>445</v>
      </c>
      <c r="E51" s="265" t="s">
        <v>414</v>
      </c>
      <c r="F51" s="265">
        <f>'0042'!$L$55</f>
        <v>500000</v>
      </c>
      <c r="G51" s="265">
        <f>'0042'!$M$55</f>
        <v>425000</v>
      </c>
      <c r="H51" s="265">
        <f>'0042'!$N$55</f>
        <v>0</v>
      </c>
      <c r="I51" s="265">
        <v>0</v>
      </c>
      <c r="J51" s="266">
        <v>59572.545247418253</v>
      </c>
      <c r="K51" s="265">
        <v>59000</v>
      </c>
      <c r="L51" s="266">
        <f t="shared" si="0"/>
        <v>925572.54524741822</v>
      </c>
      <c r="M51" s="268"/>
      <c r="N51" s="253"/>
      <c r="O51" s="253"/>
      <c r="P51" s="253"/>
    </row>
    <row r="52" spans="1:17" s="249" customFormat="1" ht="21" customHeight="1">
      <c r="A52" s="261" t="s">
        <v>153</v>
      </c>
      <c r="B52" s="262">
        <v>41411</v>
      </c>
      <c r="C52" s="263" t="s">
        <v>431</v>
      </c>
      <c r="D52" s="264" t="s">
        <v>432</v>
      </c>
      <c r="E52" s="265" t="s">
        <v>433</v>
      </c>
      <c r="F52" s="265">
        <f>'0043'!$L$30</f>
        <v>500000</v>
      </c>
      <c r="G52" s="265">
        <f>'0043'!$M$30</f>
        <v>0</v>
      </c>
      <c r="H52" s="265">
        <f>'0043'!$N$30</f>
        <v>0</v>
      </c>
      <c r="I52" s="265">
        <v>0</v>
      </c>
      <c r="J52" s="266">
        <v>100547.11438957757</v>
      </c>
      <c r="K52" s="265">
        <v>100000</v>
      </c>
      <c r="L52" s="266">
        <f t="shared" si="0"/>
        <v>500547.11438957753</v>
      </c>
      <c r="M52" s="268"/>
      <c r="N52" s="253"/>
      <c r="O52" s="253"/>
      <c r="P52" s="253"/>
    </row>
    <row r="53" spans="1:17" s="249" customFormat="1" ht="21" customHeight="1">
      <c r="A53" s="261" t="s">
        <v>154</v>
      </c>
      <c r="B53" s="262">
        <v>41446</v>
      </c>
      <c r="C53" s="263" t="s">
        <v>451</v>
      </c>
      <c r="D53" s="264" t="s">
        <v>455</v>
      </c>
      <c r="E53" s="265" t="s">
        <v>475</v>
      </c>
      <c r="F53" s="265">
        <f>'0044'!$L$30</f>
        <v>0</v>
      </c>
      <c r="G53" s="265">
        <f>'0044'!$M$30</f>
        <v>50000</v>
      </c>
      <c r="H53" s="265">
        <f>'0044'!$N$30</f>
        <v>0</v>
      </c>
      <c r="I53" s="265">
        <v>0</v>
      </c>
      <c r="J53" s="266">
        <v>2573.5402949177005</v>
      </c>
      <c r="K53" s="265">
        <v>0</v>
      </c>
      <c r="L53" s="266">
        <f t="shared" si="0"/>
        <v>52573.540294917701</v>
      </c>
      <c r="M53" s="268"/>
      <c r="N53" s="253"/>
      <c r="O53" s="253"/>
      <c r="P53" s="253"/>
    </row>
    <row r="54" spans="1:17" s="249" customFormat="1" ht="21" customHeight="1">
      <c r="A54" s="261" t="s">
        <v>155</v>
      </c>
      <c r="B54" s="262">
        <v>41476</v>
      </c>
      <c r="C54" s="263" t="s">
        <v>460</v>
      </c>
      <c r="D54" s="264" t="s">
        <v>474</v>
      </c>
      <c r="E54" s="265" t="s">
        <v>461</v>
      </c>
      <c r="F54" s="265">
        <f>'0045'!L66</f>
        <v>500000</v>
      </c>
      <c r="G54" s="265">
        <f>'0045'!$M$66</f>
        <v>1030000</v>
      </c>
      <c r="H54" s="265">
        <f>'0045'!$N$66</f>
        <v>20000</v>
      </c>
      <c r="I54" s="265">
        <v>0</v>
      </c>
      <c r="J54" s="266">
        <v>27153.675242465968</v>
      </c>
      <c r="K54" s="265">
        <v>27000</v>
      </c>
      <c r="L54" s="266">
        <f t="shared" si="0"/>
        <v>1550153.6752424659</v>
      </c>
      <c r="M54" s="268"/>
      <c r="N54" s="253"/>
      <c r="O54" s="253"/>
      <c r="P54" s="253"/>
    </row>
    <row r="55" spans="1:17" s="249" customFormat="1" ht="21" customHeight="1">
      <c r="A55" s="261" t="s">
        <v>156</v>
      </c>
      <c r="B55" s="262">
        <v>41513</v>
      </c>
      <c r="C55" s="263" t="s">
        <v>470</v>
      </c>
      <c r="D55" s="264" t="s">
        <v>432</v>
      </c>
      <c r="E55" s="265" t="s">
        <v>433</v>
      </c>
      <c r="F55" s="265">
        <f>'0046'!L54</f>
        <v>500000</v>
      </c>
      <c r="G55" s="265">
        <f>'0046'!$M$54</f>
        <v>1650000</v>
      </c>
      <c r="H55" s="265">
        <f>'0046'!$N$54</f>
        <v>0</v>
      </c>
      <c r="I55" s="265">
        <v>0</v>
      </c>
      <c r="J55" s="266">
        <v>24382.14404656113</v>
      </c>
      <c r="K55" s="265">
        <v>24000</v>
      </c>
      <c r="L55" s="266">
        <f t="shared" si="0"/>
        <v>2150382.1440465613</v>
      </c>
      <c r="M55" s="268"/>
      <c r="N55" s="253"/>
      <c r="O55" s="253"/>
      <c r="P55" s="253"/>
    </row>
    <row r="56" spans="1:17" s="249" customFormat="1" ht="21" customHeight="1">
      <c r="A56" s="261" t="s">
        <v>157</v>
      </c>
      <c r="B56" s="262">
        <v>41614</v>
      </c>
      <c r="C56" s="263" t="s">
        <v>494</v>
      </c>
      <c r="D56" s="264" t="s">
        <v>502</v>
      </c>
      <c r="E56" s="265" t="s">
        <v>411</v>
      </c>
      <c r="F56" s="265">
        <f>'0047'!L50</f>
        <v>500000</v>
      </c>
      <c r="G56" s="265">
        <f>'0047'!$M$50</f>
        <v>0</v>
      </c>
      <c r="H56" s="265">
        <f>'0047'!$N$50</f>
        <v>0</v>
      </c>
      <c r="I56" s="265">
        <v>0</v>
      </c>
      <c r="J56" s="266">
        <v>12920.177352009097</v>
      </c>
      <c r="K56" s="265">
        <v>12000</v>
      </c>
      <c r="L56" s="266">
        <f t="shared" si="0"/>
        <v>500920.17735200911</v>
      </c>
      <c r="M56" s="268"/>
      <c r="N56" s="253"/>
      <c r="O56" s="253"/>
      <c r="P56" s="253"/>
    </row>
    <row r="57" spans="1:17" s="249" customFormat="1" ht="21" customHeight="1">
      <c r="A57" s="261" t="s">
        <v>158</v>
      </c>
      <c r="B57" s="262">
        <v>41621</v>
      </c>
      <c r="C57" s="263" t="s">
        <v>496</v>
      </c>
      <c r="D57" s="264" t="s">
        <v>501</v>
      </c>
      <c r="E57" s="265" t="s">
        <v>411</v>
      </c>
      <c r="F57" s="265">
        <f>'0048'!L47</f>
        <v>500000</v>
      </c>
      <c r="G57" s="265">
        <f>'0048'!$M$47</f>
        <v>1400000</v>
      </c>
      <c r="H57" s="265">
        <f>'0048'!$N$47</f>
        <v>0</v>
      </c>
      <c r="I57" s="265">
        <v>0</v>
      </c>
      <c r="J57" s="266">
        <v>12920.177352009097</v>
      </c>
      <c r="K57" s="265">
        <v>12000</v>
      </c>
      <c r="L57" s="266">
        <f t="shared" si="0"/>
        <v>1900920.1773520091</v>
      </c>
      <c r="M57" s="268"/>
      <c r="N57" s="253"/>
      <c r="O57" s="253"/>
      <c r="P57" s="253"/>
    </row>
    <row r="58" spans="1:17" hidden="1">
      <c r="A58" s="270" t="s">
        <v>159</v>
      </c>
      <c r="B58" s="271"/>
      <c r="C58" s="272"/>
      <c r="D58" s="272"/>
      <c r="E58" s="273"/>
      <c r="F58" s="273"/>
      <c r="G58" s="273"/>
      <c r="H58" s="273"/>
      <c r="I58" s="273"/>
      <c r="J58" s="273"/>
      <c r="K58" s="273"/>
      <c r="L58" s="274"/>
      <c r="M58" s="275"/>
      <c r="N58" s="116"/>
      <c r="O58" s="116"/>
      <c r="P58" s="116"/>
    </row>
    <row r="59" spans="1:17" hidden="1">
      <c r="A59" s="270" t="s">
        <v>160</v>
      </c>
      <c r="B59" s="271"/>
      <c r="C59" s="272"/>
      <c r="D59" s="272"/>
      <c r="E59" s="273"/>
      <c r="F59" s="273"/>
      <c r="G59" s="273"/>
      <c r="H59" s="273"/>
      <c r="I59" s="273"/>
      <c r="J59" s="273"/>
      <c r="K59" s="273"/>
      <c r="L59" s="274"/>
      <c r="M59" s="275"/>
      <c r="N59" s="116"/>
      <c r="O59" s="116"/>
      <c r="P59" s="116"/>
    </row>
    <row r="60" spans="1:17" hidden="1">
      <c r="A60" s="270" t="s">
        <v>161</v>
      </c>
      <c r="B60" s="271"/>
      <c r="C60" s="272"/>
      <c r="D60" s="272"/>
      <c r="E60" s="273"/>
      <c r="F60" s="273"/>
      <c r="G60" s="273"/>
      <c r="H60" s="273"/>
      <c r="I60" s="273"/>
      <c r="J60" s="273"/>
      <c r="K60" s="273"/>
      <c r="L60" s="274"/>
      <c r="M60" s="275"/>
      <c r="N60" s="116"/>
      <c r="O60" s="116"/>
      <c r="P60" s="116"/>
    </row>
    <row r="61" spans="1:17" hidden="1">
      <c r="A61" s="270" t="s">
        <v>162</v>
      </c>
      <c r="B61" s="271"/>
      <c r="C61" s="272"/>
      <c r="D61" s="272"/>
      <c r="E61" s="273"/>
      <c r="F61" s="273"/>
      <c r="G61" s="273"/>
      <c r="H61" s="273"/>
      <c r="I61" s="273"/>
      <c r="J61" s="273"/>
      <c r="K61" s="273"/>
      <c r="L61" s="274"/>
      <c r="M61" s="275"/>
      <c r="N61" s="116"/>
      <c r="O61" s="116"/>
      <c r="P61" s="116"/>
    </row>
    <row r="62" spans="1:17" hidden="1">
      <c r="A62" s="270" t="s">
        <v>163</v>
      </c>
      <c r="B62" s="271"/>
      <c r="C62" s="272"/>
      <c r="D62" s="272"/>
      <c r="E62" s="273"/>
      <c r="F62" s="273"/>
      <c r="G62" s="273"/>
      <c r="H62" s="273"/>
      <c r="I62" s="273"/>
      <c r="J62" s="273"/>
      <c r="K62" s="273"/>
      <c r="L62" s="274"/>
      <c r="M62" s="275"/>
      <c r="N62" s="116"/>
      <c r="O62" s="116"/>
      <c r="P62" s="116"/>
    </row>
    <row r="63" spans="1:17" hidden="1">
      <c r="A63" s="270" t="s">
        <v>164</v>
      </c>
      <c r="B63" s="271"/>
      <c r="C63" s="272"/>
      <c r="D63" s="272"/>
      <c r="E63" s="273"/>
      <c r="F63" s="273"/>
      <c r="G63" s="273"/>
      <c r="H63" s="273"/>
      <c r="I63" s="273"/>
      <c r="J63" s="273"/>
      <c r="K63" s="273"/>
      <c r="L63" s="274"/>
      <c r="M63" s="275"/>
      <c r="N63" s="116"/>
      <c r="O63" s="116"/>
      <c r="P63" s="116"/>
    </row>
    <row r="64" spans="1:17" hidden="1">
      <c r="A64" s="270" t="s">
        <v>165</v>
      </c>
      <c r="B64" s="271"/>
      <c r="C64" s="272"/>
      <c r="D64" s="272"/>
      <c r="E64" s="273"/>
      <c r="F64" s="273"/>
      <c r="G64" s="273"/>
      <c r="H64" s="273"/>
      <c r="I64" s="273"/>
      <c r="J64" s="273"/>
      <c r="K64" s="273"/>
      <c r="L64" s="274"/>
      <c r="M64" s="275"/>
      <c r="N64" s="116"/>
      <c r="O64" s="116"/>
      <c r="P64" s="116"/>
    </row>
    <row r="65" spans="1:16" hidden="1">
      <c r="A65" s="270" t="s">
        <v>166</v>
      </c>
      <c r="B65" s="271"/>
      <c r="C65" s="272"/>
      <c r="D65" s="272"/>
      <c r="E65" s="273"/>
      <c r="F65" s="273"/>
      <c r="G65" s="273"/>
      <c r="H65" s="273"/>
      <c r="I65" s="273"/>
      <c r="J65" s="273"/>
      <c r="K65" s="273"/>
      <c r="L65" s="274"/>
      <c r="M65" s="275"/>
      <c r="N65" s="116"/>
      <c r="O65" s="116"/>
      <c r="P65" s="116"/>
    </row>
    <row r="66" spans="1:16" hidden="1">
      <c r="A66" s="270" t="s">
        <v>167</v>
      </c>
      <c r="B66" s="271"/>
      <c r="C66" s="272"/>
      <c r="D66" s="272"/>
      <c r="E66" s="273"/>
      <c r="F66" s="273"/>
      <c r="G66" s="273"/>
      <c r="H66" s="273"/>
      <c r="I66" s="273"/>
      <c r="J66" s="273"/>
      <c r="K66" s="273"/>
      <c r="L66" s="274"/>
      <c r="M66" s="275"/>
      <c r="N66" s="116"/>
      <c r="O66" s="116"/>
      <c r="P66" s="116"/>
    </row>
    <row r="67" spans="1:16" hidden="1">
      <c r="A67" s="270" t="s">
        <v>168</v>
      </c>
      <c r="B67" s="271"/>
      <c r="C67" s="272"/>
      <c r="D67" s="272"/>
      <c r="E67" s="273"/>
      <c r="F67" s="273"/>
      <c r="G67" s="273"/>
      <c r="H67" s="273"/>
      <c r="I67" s="273"/>
      <c r="J67" s="273"/>
      <c r="K67" s="273"/>
      <c r="L67" s="274"/>
      <c r="M67" s="275"/>
      <c r="N67" s="116"/>
      <c r="O67" s="116"/>
      <c r="P67" s="116"/>
    </row>
    <row r="68" spans="1:16" hidden="1">
      <c r="A68" s="270" t="s">
        <v>169</v>
      </c>
      <c r="B68" s="271"/>
      <c r="C68" s="272"/>
      <c r="D68" s="272"/>
      <c r="E68" s="273"/>
      <c r="F68" s="273"/>
      <c r="G68" s="273"/>
      <c r="H68" s="273"/>
      <c r="I68" s="273"/>
      <c r="J68" s="273"/>
      <c r="K68" s="273"/>
      <c r="L68" s="274"/>
      <c r="M68" s="275"/>
      <c r="N68" s="116"/>
      <c r="O68" s="116"/>
      <c r="P68" s="116"/>
    </row>
    <row r="69" spans="1:16" hidden="1">
      <c r="A69" s="270" t="s">
        <v>170</v>
      </c>
      <c r="B69" s="271"/>
      <c r="C69" s="272"/>
      <c r="D69" s="272"/>
      <c r="E69" s="273"/>
      <c r="F69" s="273"/>
      <c r="G69" s="273"/>
      <c r="H69" s="273"/>
      <c r="I69" s="273"/>
      <c r="J69" s="273"/>
      <c r="K69" s="273"/>
      <c r="L69" s="274"/>
      <c r="M69" s="275"/>
      <c r="N69" s="116"/>
      <c r="O69" s="116"/>
      <c r="P69" s="116"/>
    </row>
    <row r="70" spans="1:16" hidden="1">
      <c r="A70" s="270" t="s">
        <v>171</v>
      </c>
      <c r="B70" s="271"/>
      <c r="C70" s="272"/>
      <c r="D70" s="272"/>
      <c r="E70" s="273"/>
      <c r="F70" s="273"/>
      <c r="G70" s="273"/>
      <c r="H70" s="273"/>
      <c r="I70" s="273"/>
      <c r="J70" s="273"/>
      <c r="K70" s="273"/>
      <c r="L70" s="274"/>
      <c r="M70" s="275"/>
      <c r="N70" s="116"/>
      <c r="O70" s="116"/>
      <c r="P70" s="116"/>
    </row>
    <row r="71" spans="1:16" hidden="1">
      <c r="A71" s="270" t="s">
        <v>172</v>
      </c>
      <c r="B71" s="271"/>
      <c r="C71" s="272"/>
      <c r="D71" s="272"/>
      <c r="E71" s="273"/>
      <c r="F71" s="273"/>
      <c r="G71" s="273"/>
      <c r="H71" s="273"/>
      <c r="I71" s="273"/>
      <c r="J71" s="273"/>
      <c r="K71" s="273"/>
      <c r="L71" s="274"/>
      <c r="M71" s="275"/>
      <c r="N71" s="116"/>
      <c r="O71" s="116"/>
      <c r="P71" s="116"/>
    </row>
    <row r="72" spans="1:16" hidden="1">
      <c r="A72" s="270" t="s">
        <v>173</v>
      </c>
      <c r="B72" s="271"/>
      <c r="C72" s="272"/>
      <c r="D72" s="272"/>
      <c r="E72" s="273"/>
      <c r="F72" s="273"/>
      <c r="G72" s="273"/>
      <c r="H72" s="273"/>
      <c r="I72" s="273"/>
      <c r="J72" s="273"/>
      <c r="K72" s="273"/>
      <c r="L72" s="274"/>
      <c r="M72" s="275"/>
      <c r="N72" s="116"/>
      <c r="O72" s="116"/>
      <c r="P72" s="116"/>
    </row>
    <row r="73" spans="1:16" hidden="1">
      <c r="A73" s="270" t="s">
        <v>174</v>
      </c>
      <c r="B73" s="271"/>
      <c r="C73" s="272"/>
      <c r="D73" s="272"/>
      <c r="E73" s="273"/>
      <c r="F73" s="273"/>
      <c r="G73" s="273"/>
      <c r="H73" s="273"/>
      <c r="I73" s="273"/>
      <c r="J73" s="273"/>
      <c r="K73" s="273"/>
      <c r="L73" s="274"/>
      <c r="M73" s="275"/>
      <c r="N73" s="116"/>
      <c r="O73" s="116"/>
      <c r="P73" s="116"/>
    </row>
    <row r="74" spans="1:16" hidden="1">
      <c r="A74" s="270" t="s">
        <v>175</v>
      </c>
      <c r="B74" s="271"/>
      <c r="C74" s="272"/>
      <c r="D74" s="272"/>
      <c r="E74" s="273"/>
      <c r="F74" s="273"/>
      <c r="G74" s="273"/>
      <c r="H74" s="273"/>
      <c r="I74" s="273"/>
      <c r="J74" s="273"/>
      <c r="K74" s="273"/>
      <c r="L74" s="274"/>
      <c r="M74" s="275"/>
      <c r="N74" s="116"/>
      <c r="O74" s="116"/>
      <c r="P74" s="116"/>
    </row>
    <row r="75" spans="1:16" hidden="1">
      <c r="A75" s="270" t="s">
        <v>176</v>
      </c>
      <c r="B75" s="271"/>
      <c r="C75" s="272"/>
      <c r="D75" s="272"/>
      <c r="E75" s="273"/>
      <c r="F75" s="273"/>
      <c r="G75" s="273"/>
      <c r="H75" s="273"/>
      <c r="I75" s="273"/>
      <c r="J75" s="273"/>
      <c r="K75" s="273"/>
      <c r="L75" s="274"/>
      <c r="M75" s="275"/>
      <c r="N75" s="116"/>
      <c r="O75" s="116"/>
      <c r="P75" s="116"/>
    </row>
    <row r="76" spans="1:16" hidden="1">
      <c r="A76" s="270" t="s">
        <v>177</v>
      </c>
      <c r="B76" s="271"/>
      <c r="C76" s="272"/>
      <c r="D76" s="272"/>
      <c r="E76" s="273"/>
      <c r="F76" s="273"/>
      <c r="G76" s="273"/>
      <c r="H76" s="273"/>
      <c r="I76" s="273"/>
      <c r="J76" s="273"/>
      <c r="K76" s="273"/>
      <c r="L76" s="274"/>
      <c r="M76" s="275"/>
      <c r="N76" s="116"/>
      <c r="O76" s="116"/>
      <c r="P76" s="116"/>
    </row>
    <row r="77" spans="1:16" hidden="1">
      <c r="A77" s="270" t="s">
        <v>178</v>
      </c>
      <c r="B77" s="271"/>
      <c r="C77" s="272"/>
      <c r="D77" s="272"/>
      <c r="E77" s="273"/>
      <c r="F77" s="273"/>
      <c r="G77" s="273"/>
      <c r="H77" s="273"/>
      <c r="I77" s="273"/>
      <c r="J77" s="273"/>
      <c r="K77" s="273"/>
      <c r="L77" s="274"/>
      <c r="M77" s="275"/>
      <c r="N77" s="116"/>
      <c r="O77" s="116"/>
      <c r="P77" s="116"/>
    </row>
    <row r="78" spans="1:16" hidden="1">
      <c r="A78" s="270" t="s">
        <v>179</v>
      </c>
      <c r="B78" s="271"/>
      <c r="C78" s="272"/>
      <c r="D78" s="272"/>
      <c r="E78" s="273"/>
      <c r="F78" s="273"/>
      <c r="G78" s="273"/>
      <c r="H78" s="273"/>
      <c r="I78" s="273"/>
      <c r="J78" s="273"/>
      <c r="K78" s="273"/>
      <c r="L78" s="274"/>
      <c r="M78" s="275"/>
      <c r="N78" s="116"/>
      <c r="O78" s="116"/>
      <c r="P78" s="116"/>
    </row>
    <row r="79" spans="1:16" hidden="1">
      <c r="A79" s="270" t="s">
        <v>180</v>
      </c>
      <c r="B79" s="271"/>
      <c r="C79" s="272"/>
      <c r="D79" s="272"/>
      <c r="E79" s="273"/>
      <c r="F79" s="273"/>
      <c r="G79" s="273"/>
      <c r="H79" s="273"/>
      <c r="I79" s="273"/>
      <c r="J79" s="273"/>
      <c r="K79" s="273"/>
      <c r="L79" s="274"/>
      <c r="M79" s="275"/>
      <c r="N79" s="116"/>
      <c r="O79" s="116"/>
      <c r="P79" s="116"/>
    </row>
    <row r="80" spans="1:16" hidden="1">
      <c r="A80" s="270" t="s">
        <v>181</v>
      </c>
      <c r="B80" s="271"/>
      <c r="C80" s="272"/>
      <c r="D80" s="272"/>
      <c r="E80" s="273"/>
      <c r="F80" s="273"/>
      <c r="G80" s="273"/>
      <c r="H80" s="273"/>
      <c r="I80" s="273"/>
      <c r="J80" s="273"/>
      <c r="K80" s="273"/>
      <c r="L80" s="274"/>
      <c r="M80" s="275"/>
      <c r="N80" s="116"/>
      <c r="O80" s="116"/>
      <c r="P80" s="116"/>
    </row>
    <row r="81" spans="1:16" hidden="1">
      <c r="A81" s="270" t="s">
        <v>182</v>
      </c>
      <c r="B81" s="271"/>
      <c r="C81" s="272"/>
      <c r="D81" s="272"/>
      <c r="E81" s="273"/>
      <c r="F81" s="273"/>
      <c r="G81" s="273"/>
      <c r="H81" s="273"/>
      <c r="I81" s="273"/>
      <c r="J81" s="273"/>
      <c r="K81" s="273"/>
      <c r="L81" s="274"/>
      <c r="M81" s="275"/>
      <c r="N81" s="116"/>
      <c r="O81" s="116"/>
      <c r="P81" s="116"/>
    </row>
    <row r="82" spans="1:16" hidden="1">
      <c r="A82" s="270" t="s">
        <v>183</v>
      </c>
      <c r="B82" s="271"/>
      <c r="C82" s="272"/>
      <c r="D82" s="272"/>
      <c r="E82" s="273"/>
      <c r="F82" s="273"/>
      <c r="G82" s="273"/>
      <c r="H82" s="273"/>
      <c r="I82" s="273"/>
      <c r="J82" s="273"/>
      <c r="K82" s="273"/>
      <c r="L82" s="274"/>
      <c r="M82" s="275"/>
      <c r="N82" s="116"/>
      <c r="O82" s="116"/>
      <c r="P82" s="116"/>
    </row>
    <row r="83" spans="1:16" hidden="1">
      <c r="A83" s="270" t="s">
        <v>184</v>
      </c>
      <c r="B83" s="271"/>
      <c r="C83" s="272"/>
      <c r="D83" s="272"/>
      <c r="E83" s="273"/>
      <c r="F83" s="273"/>
      <c r="G83" s="273"/>
      <c r="H83" s="273"/>
      <c r="I83" s="273"/>
      <c r="J83" s="273"/>
      <c r="K83" s="273"/>
      <c r="L83" s="274"/>
      <c r="M83" s="275"/>
      <c r="N83" s="116"/>
      <c r="O83" s="116"/>
      <c r="P83" s="116"/>
    </row>
    <row r="84" spans="1:16" hidden="1">
      <c r="A84" s="270" t="s">
        <v>185</v>
      </c>
      <c r="B84" s="271"/>
      <c r="C84" s="272"/>
      <c r="D84" s="272"/>
      <c r="E84" s="273"/>
      <c r="F84" s="273"/>
      <c r="G84" s="273"/>
      <c r="H84" s="273"/>
      <c r="I84" s="273"/>
      <c r="J84" s="273"/>
      <c r="K84" s="273"/>
      <c r="L84" s="274"/>
      <c r="M84" s="275"/>
      <c r="N84" s="116"/>
      <c r="O84" s="116"/>
      <c r="P84" s="116"/>
    </row>
    <row r="85" spans="1:16" hidden="1">
      <c r="A85" s="270" t="s">
        <v>186</v>
      </c>
      <c r="B85" s="271"/>
      <c r="C85" s="272"/>
      <c r="D85" s="272"/>
      <c r="E85" s="273"/>
      <c r="F85" s="273"/>
      <c r="G85" s="273"/>
      <c r="H85" s="273"/>
      <c r="I85" s="273"/>
      <c r="J85" s="273"/>
      <c r="K85" s="273"/>
      <c r="L85" s="274"/>
      <c r="M85" s="275"/>
      <c r="N85" s="116"/>
      <c r="O85" s="116"/>
      <c r="P85" s="116"/>
    </row>
    <row r="86" spans="1:16" hidden="1">
      <c r="A86" s="270" t="s">
        <v>187</v>
      </c>
      <c r="B86" s="271"/>
      <c r="C86" s="272"/>
      <c r="D86" s="272"/>
      <c r="E86" s="273"/>
      <c r="F86" s="273"/>
      <c r="G86" s="273"/>
      <c r="H86" s="273"/>
      <c r="I86" s="273"/>
      <c r="J86" s="273"/>
      <c r="K86" s="273"/>
      <c r="L86" s="274"/>
      <c r="M86" s="275"/>
      <c r="N86" s="116"/>
      <c r="O86" s="116"/>
      <c r="P86" s="116"/>
    </row>
    <row r="87" spans="1:16" hidden="1">
      <c r="A87" s="270" t="s">
        <v>188</v>
      </c>
      <c r="B87" s="271"/>
      <c r="C87" s="272"/>
      <c r="D87" s="272"/>
      <c r="E87" s="273"/>
      <c r="F87" s="273"/>
      <c r="G87" s="273"/>
      <c r="H87" s="273"/>
      <c r="I87" s="273"/>
      <c r="J87" s="273"/>
      <c r="K87" s="273"/>
      <c r="L87" s="274"/>
      <c r="M87" s="275"/>
      <c r="N87" s="116"/>
      <c r="O87" s="116"/>
      <c r="P87" s="116"/>
    </row>
    <row r="88" spans="1:16" hidden="1">
      <c r="A88" s="270" t="s">
        <v>189</v>
      </c>
      <c r="B88" s="271"/>
      <c r="C88" s="272"/>
      <c r="D88" s="272"/>
      <c r="E88" s="273"/>
      <c r="F88" s="273"/>
      <c r="G88" s="273"/>
      <c r="H88" s="273"/>
      <c r="I88" s="273"/>
      <c r="J88" s="273"/>
      <c r="K88" s="273"/>
      <c r="L88" s="274"/>
      <c r="M88" s="275"/>
      <c r="N88" s="116"/>
      <c r="O88" s="116"/>
      <c r="P88" s="116"/>
    </row>
    <row r="89" spans="1:16" hidden="1">
      <c r="A89" s="270" t="s">
        <v>190</v>
      </c>
      <c r="B89" s="271"/>
      <c r="C89" s="272"/>
      <c r="D89" s="272"/>
      <c r="E89" s="273"/>
      <c r="F89" s="273"/>
      <c r="G89" s="273"/>
      <c r="H89" s="273"/>
      <c r="I89" s="273"/>
      <c r="J89" s="273"/>
      <c r="K89" s="273"/>
      <c r="L89" s="274"/>
      <c r="M89" s="275"/>
      <c r="N89" s="116"/>
      <c r="O89" s="116"/>
      <c r="P89" s="116"/>
    </row>
    <row r="90" spans="1:16" hidden="1">
      <c r="A90" s="270" t="s">
        <v>191</v>
      </c>
      <c r="B90" s="271"/>
      <c r="C90" s="272"/>
      <c r="D90" s="272"/>
      <c r="E90" s="273"/>
      <c r="F90" s="273"/>
      <c r="G90" s="273"/>
      <c r="H90" s="273"/>
      <c r="I90" s="273"/>
      <c r="J90" s="273"/>
      <c r="K90" s="273"/>
      <c r="L90" s="274"/>
      <c r="M90" s="275"/>
      <c r="N90" s="116"/>
      <c r="O90" s="116"/>
      <c r="P90" s="116"/>
    </row>
    <row r="91" spans="1:16" hidden="1">
      <c r="A91" s="270" t="s">
        <v>192</v>
      </c>
      <c r="B91" s="271"/>
      <c r="C91" s="272"/>
      <c r="D91" s="272"/>
      <c r="E91" s="273"/>
      <c r="F91" s="273"/>
      <c r="G91" s="273"/>
      <c r="H91" s="273"/>
      <c r="I91" s="273"/>
      <c r="J91" s="273"/>
      <c r="K91" s="273"/>
      <c r="L91" s="274"/>
      <c r="M91" s="275"/>
      <c r="N91" s="116"/>
      <c r="O91" s="116"/>
      <c r="P91" s="116"/>
    </row>
    <row r="92" spans="1:16" hidden="1">
      <c r="A92" s="270" t="s">
        <v>193</v>
      </c>
      <c r="B92" s="271"/>
      <c r="C92" s="272"/>
      <c r="D92" s="272"/>
      <c r="E92" s="273"/>
      <c r="F92" s="273"/>
      <c r="G92" s="273"/>
      <c r="H92" s="273"/>
      <c r="I92" s="273"/>
      <c r="J92" s="273"/>
      <c r="K92" s="273"/>
      <c r="L92" s="274"/>
      <c r="M92" s="275"/>
      <c r="N92" s="116"/>
      <c r="O92" s="116"/>
      <c r="P92" s="116"/>
    </row>
    <row r="93" spans="1:16" hidden="1">
      <c r="A93" s="270" t="s">
        <v>194</v>
      </c>
      <c r="B93" s="271"/>
      <c r="C93" s="272"/>
      <c r="D93" s="272"/>
      <c r="E93" s="273"/>
      <c r="F93" s="273"/>
      <c r="G93" s="273"/>
      <c r="H93" s="273"/>
      <c r="I93" s="273"/>
      <c r="J93" s="273"/>
      <c r="K93" s="273"/>
      <c r="L93" s="274"/>
      <c r="M93" s="275"/>
      <c r="N93" s="116"/>
      <c r="O93" s="116"/>
      <c r="P93" s="116"/>
    </row>
    <row r="94" spans="1:16" hidden="1">
      <c r="A94" s="270" t="s">
        <v>195</v>
      </c>
      <c r="B94" s="271"/>
      <c r="C94" s="272"/>
      <c r="D94" s="272"/>
      <c r="E94" s="273"/>
      <c r="F94" s="273"/>
      <c r="G94" s="273"/>
      <c r="H94" s="273"/>
      <c r="I94" s="273"/>
      <c r="J94" s="273"/>
      <c r="K94" s="273"/>
      <c r="L94" s="274"/>
      <c r="M94" s="275"/>
      <c r="N94" s="116"/>
      <c r="O94" s="116"/>
      <c r="P94" s="116"/>
    </row>
    <row r="95" spans="1:16" hidden="1">
      <c r="A95" s="270" t="s">
        <v>196</v>
      </c>
      <c r="B95" s="271"/>
      <c r="C95" s="272"/>
      <c r="D95" s="272"/>
      <c r="E95" s="273"/>
      <c r="F95" s="273"/>
      <c r="G95" s="273"/>
      <c r="H95" s="273"/>
      <c r="I95" s="273"/>
      <c r="J95" s="273"/>
      <c r="K95" s="273"/>
      <c r="L95" s="274"/>
      <c r="M95" s="275"/>
      <c r="N95" s="116"/>
      <c r="O95" s="116"/>
      <c r="P95" s="116"/>
    </row>
    <row r="96" spans="1:16" hidden="1">
      <c r="A96" s="270" t="s">
        <v>197</v>
      </c>
      <c r="B96" s="271"/>
      <c r="C96" s="272"/>
      <c r="D96" s="272"/>
      <c r="E96" s="273"/>
      <c r="F96" s="273"/>
      <c r="G96" s="273"/>
      <c r="H96" s="273"/>
      <c r="I96" s="273"/>
      <c r="J96" s="273"/>
      <c r="K96" s="273"/>
      <c r="L96" s="274"/>
      <c r="M96" s="275"/>
      <c r="N96" s="116"/>
      <c r="O96" s="116"/>
      <c r="P96" s="116"/>
    </row>
    <row r="97" spans="1:16" hidden="1">
      <c r="A97" s="270" t="s">
        <v>198</v>
      </c>
      <c r="B97" s="271"/>
      <c r="C97" s="272"/>
      <c r="D97" s="272"/>
      <c r="E97" s="273"/>
      <c r="F97" s="273"/>
      <c r="G97" s="273"/>
      <c r="H97" s="273"/>
      <c r="I97" s="273"/>
      <c r="J97" s="273"/>
      <c r="K97" s="273"/>
      <c r="L97" s="274"/>
      <c r="M97" s="275"/>
      <c r="N97" s="116"/>
      <c r="O97" s="116"/>
      <c r="P97" s="116"/>
    </row>
    <row r="98" spans="1:16" hidden="1">
      <c r="A98" s="270" t="s">
        <v>199</v>
      </c>
      <c r="B98" s="271"/>
      <c r="C98" s="272"/>
      <c r="D98" s="272"/>
      <c r="E98" s="273"/>
      <c r="F98" s="273"/>
      <c r="G98" s="273"/>
      <c r="H98" s="273"/>
      <c r="I98" s="273"/>
      <c r="J98" s="273"/>
      <c r="K98" s="273"/>
      <c r="L98" s="274"/>
      <c r="M98" s="275"/>
      <c r="N98" s="116"/>
      <c r="O98" s="116"/>
      <c r="P98" s="116"/>
    </row>
    <row r="99" spans="1:16" hidden="1">
      <c r="A99" s="270" t="s">
        <v>200</v>
      </c>
      <c r="B99" s="271"/>
      <c r="C99" s="272"/>
      <c r="D99" s="272"/>
      <c r="E99" s="273"/>
      <c r="F99" s="273"/>
      <c r="G99" s="273"/>
      <c r="H99" s="273"/>
      <c r="I99" s="273"/>
      <c r="J99" s="273"/>
      <c r="K99" s="273"/>
      <c r="L99" s="274"/>
      <c r="M99" s="275"/>
      <c r="N99" s="116"/>
      <c r="O99" s="116"/>
      <c r="P99" s="116"/>
    </row>
    <row r="100" spans="1:16" hidden="1">
      <c r="A100" s="270" t="s">
        <v>201</v>
      </c>
      <c r="B100" s="271"/>
      <c r="C100" s="272"/>
      <c r="D100" s="272"/>
      <c r="E100" s="273"/>
      <c r="F100" s="273"/>
      <c r="G100" s="273"/>
      <c r="H100" s="273"/>
      <c r="I100" s="273"/>
      <c r="J100" s="273"/>
      <c r="K100" s="273"/>
      <c r="L100" s="274"/>
      <c r="M100" s="275"/>
      <c r="N100" s="116"/>
      <c r="O100" s="116"/>
      <c r="P100" s="116"/>
    </row>
    <row r="101" spans="1:16" hidden="1">
      <c r="A101" s="270" t="s">
        <v>202</v>
      </c>
      <c r="B101" s="271"/>
      <c r="C101" s="272"/>
      <c r="D101" s="272"/>
      <c r="E101" s="273"/>
      <c r="F101" s="273"/>
      <c r="G101" s="273"/>
      <c r="H101" s="273"/>
      <c r="I101" s="273"/>
      <c r="J101" s="273"/>
      <c r="K101" s="273"/>
      <c r="L101" s="274"/>
      <c r="M101" s="275"/>
      <c r="N101" s="116"/>
      <c r="O101" s="116"/>
      <c r="P101" s="116"/>
    </row>
    <row r="102" spans="1:16" hidden="1">
      <c r="A102" s="270" t="s">
        <v>203</v>
      </c>
      <c r="B102" s="271"/>
      <c r="C102" s="272"/>
      <c r="D102" s="272"/>
      <c r="E102" s="273"/>
      <c r="F102" s="273"/>
      <c r="G102" s="273"/>
      <c r="H102" s="273"/>
      <c r="I102" s="273"/>
      <c r="J102" s="273"/>
      <c r="K102" s="273"/>
      <c r="L102" s="274"/>
      <c r="M102" s="275"/>
      <c r="N102" s="116"/>
      <c r="O102" s="116"/>
      <c r="P102" s="116"/>
    </row>
    <row r="103" spans="1:16" hidden="1">
      <c r="A103" s="270" t="s">
        <v>204</v>
      </c>
      <c r="B103" s="271"/>
      <c r="C103" s="272"/>
      <c r="D103" s="272"/>
      <c r="E103" s="273"/>
      <c r="F103" s="273"/>
      <c r="G103" s="273"/>
      <c r="H103" s="273"/>
      <c r="I103" s="273"/>
      <c r="J103" s="273"/>
      <c r="K103" s="273"/>
      <c r="L103" s="274"/>
      <c r="M103" s="275"/>
      <c r="N103" s="116"/>
      <c r="O103" s="116"/>
      <c r="P103" s="116"/>
    </row>
    <row r="104" spans="1:16" hidden="1">
      <c r="A104" s="270" t="s">
        <v>205</v>
      </c>
      <c r="B104" s="271"/>
      <c r="C104" s="272"/>
      <c r="D104" s="272"/>
      <c r="E104" s="273"/>
      <c r="F104" s="273"/>
      <c r="G104" s="273"/>
      <c r="H104" s="273"/>
      <c r="I104" s="273"/>
      <c r="J104" s="273"/>
      <c r="K104" s="273"/>
      <c r="L104" s="274"/>
      <c r="M104" s="275"/>
      <c r="N104" s="116"/>
      <c r="O104" s="116"/>
      <c r="P104" s="116"/>
    </row>
    <row r="105" spans="1:16" hidden="1">
      <c r="A105" s="270" t="s">
        <v>206</v>
      </c>
      <c r="B105" s="271"/>
      <c r="C105" s="272"/>
      <c r="D105" s="272"/>
      <c r="E105" s="273"/>
      <c r="F105" s="273"/>
      <c r="G105" s="273"/>
      <c r="H105" s="273"/>
      <c r="I105" s="273"/>
      <c r="J105" s="273"/>
      <c r="K105" s="273"/>
      <c r="L105" s="274"/>
      <c r="M105" s="275"/>
      <c r="N105" s="116"/>
      <c r="O105" s="116"/>
      <c r="P105" s="116"/>
    </row>
    <row r="106" spans="1:16" hidden="1">
      <c r="A106" s="270" t="s">
        <v>207</v>
      </c>
      <c r="B106" s="271"/>
      <c r="C106" s="272"/>
      <c r="D106" s="272"/>
      <c r="E106" s="273"/>
      <c r="F106" s="273"/>
      <c r="G106" s="273"/>
      <c r="H106" s="273"/>
      <c r="I106" s="273"/>
      <c r="J106" s="273"/>
      <c r="K106" s="273"/>
      <c r="L106" s="274"/>
      <c r="M106" s="275"/>
      <c r="N106" s="116"/>
      <c r="O106" s="116"/>
      <c r="P106" s="116"/>
    </row>
    <row r="107" spans="1:16" hidden="1">
      <c r="A107" s="270" t="s">
        <v>208</v>
      </c>
      <c r="B107" s="271"/>
      <c r="C107" s="272"/>
      <c r="D107" s="272"/>
      <c r="E107" s="273"/>
      <c r="F107" s="273"/>
      <c r="G107" s="273"/>
      <c r="H107" s="273"/>
      <c r="I107" s="273"/>
      <c r="J107" s="273"/>
      <c r="K107" s="273"/>
      <c r="L107" s="274"/>
      <c r="M107" s="275"/>
      <c r="N107" s="116"/>
      <c r="O107" s="116"/>
      <c r="P107" s="116"/>
    </row>
    <row r="108" spans="1:16" hidden="1">
      <c r="A108" s="270" t="s">
        <v>209</v>
      </c>
      <c r="B108" s="271"/>
      <c r="C108" s="272"/>
      <c r="D108" s="272"/>
      <c r="E108" s="273"/>
      <c r="F108" s="273"/>
      <c r="G108" s="273"/>
      <c r="H108" s="273"/>
      <c r="I108" s="273"/>
      <c r="J108" s="273"/>
      <c r="K108" s="273"/>
      <c r="L108" s="274"/>
      <c r="M108" s="275"/>
      <c r="N108" s="116"/>
      <c r="O108" s="116"/>
      <c r="P108" s="116"/>
    </row>
    <row r="109" spans="1:16" hidden="1">
      <c r="A109" s="270" t="s">
        <v>210</v>
      </c>
      <c r="B109" s="271"/>
      <c r="C109" s="272"/>
      <c r="D109" s="272"/>
      <c r="E109" s="273"/>
      <c r="F109" s="273"/>
      <c r="G109" s="273"/>
      <c r="H109" s="273"/>
      <c r="I109" s="273"/>
      <c r="J109" s="273"/>
      <c r="K109" s="273"/>
      <c r="L109" s="274"/>
      <c r="M109" s="275"/>
      <c r="N109" s="116"/>
      <c r="O109" s="116"/>
      <c r="P109" s="116"/>
    </row>
    <row r="110" spans="1:16" hidden="1">
      <c r="A110" s="270" t="s">
        <v>211</v>
      </c>
      <c r="B110" s="271"/>
      <c r="C110" s="272"/>
      <c r="D110" s="272"/>
      <c r="E110" s="273"/>
      <c r="F110" s="273"/>
      <c r="G110" s="273"/>
      <c r="H110" s="273"/>
      <c r="I110" s="273"/>
      <c r="J110" s="273"/>
      <c r="K110" s="273"/>
      <c r="L110" s="274"/>
      <c r="M110" s="275"/>
      <c r="N110" s="116"/>
      <c r="O110" s="116"/>
      <c r="P110" s="116"/>
    </row>
    <row r="111" spans="1:16" hidden="1">
      <c r="A111" s="270" t="s">
        <v>212</v>
      </c>
      <c r="B111" s="271"/>
      <c r="C111" s="272"/>
      <c r="D111" s="272"/>
      <c r="E111" s="273"/>
      <c r="F111" s="273"/>
      <c r="G111" s="273"/>
      <c r="H111" s="273"/>
      <c r="I111" s="273"/>
      <c r="J111" s="273"/>
      <c r="K111" s="273"/>
      <c r="L111" s="274"/>
      <c r="M111" s="275"/>
      <c r="N111" s="116"/>
      <c r="O111" s="116"/>
      <c r="P111" s="116"/>
    </row>
    <row r="112" spans="1:16" hidden="1">
      <c r="A112" s="270" t="s">
        <v>213</v>
      </c>
      <c r="B112" s="271"/>
      <c r="C112" s="272"/>
      <c r="D112" s="272"/>
      <c r="E112" s="273"/>
      <c r="F112" s="273"/>
      <c r="G112" s="273"/>
      <c r="H112" s="273"/>
      <c r="I112" s="273"/>
      <c r="J112" s="273"/>
      <c r="K112" s="273"/>
      <c r="L112" s="274"/>
      <c r="M112" s="275"/>
      <c r="N112" s="116"/>
      <c r="O112" s="116"/>
      <c r="P112" s="116"/>
    </row>
    <row r="113" spans="1:16" hidden="1">
      <c r="A113" s="270" t="s">
        <v>214</v>
      </c>
      <c r="B113" s="271"/>
      <c r="C113" s="272"/>
      <c r="D113" s="272"/>
      <c r="E113" s="273"/>
      <c r="F113" s="273"/>
      <c r="G113" s="273"/>
      <c r="H113" s="273"/>
      <c r="I113" s="273"/>
      <c r="J113" s="273"/>
      <c r="K113" s="273"/>
      <c r="L113" s="274"/>
      <c r="M113" s="275"/>
      <c r="N113" s="116"/>
      <c r="O113" s="116"/>
      <c r="P113" s="116"/>
    </row>
    <row r="114" spans="1:16" hidden="1">
      <c r="A114" s="270" t="s">
        <v>215</v>
      </c>
      <c r="B114" s="271"/>
      <c r="C114" s="272"/>
      <c r="D114" s="272"/>
      <c r="E114" s="273"/>
      <c r="F114" s="273"/>
      <c r="G114" s="273"/>
      <c r="H114" s="273"/>
      <c r="I114" s="273"/>
      <c r="J114" s="273"/>
      <c r="K114" s="273"/>
      <c r="L114" s="274"/>
      <c r="M114" s="275"/>
      <c r="N114" s="116"/>
      <c r="O114" s="116"/>
      <c r="P114" s="116"/>
    </row>
    <row r="115" spans="1:16" hidden="1">
      <c r="A115" s="270" t="s">
        <v>216</v>
      </c>
      <c r="B115" s="271"/>
      <c r="C115" s="272"/>
      <c r="D115" s="272"/>
      <c r="E115" s="273"/>
      <c r="F115" s="273"/>
      <c r="G115" s="273"/>
      <c r="H115" s="273"/>
      <c r="I115" s="273"/>
      <c r="J115" s="273"/>
      <c r="K115" s="273"/>
      <c r="L115" s="274"/>
      <c r="M115" s="275"/>
      <c r="N115" s="116"/>
      <c r="O115" s="116"/>
      <c r="P115" s="116"/>
    </row>
    <row r="116" spans="1:16" hidden="1">
      <c r="A116" s="270" t="s">
        <v>217</v>
      </c>
      <c r="B116" s="271"/>
      <c r="C116" s="272"/>
      <c r="D116" s="272"/>
      <c r="E116" s="273"/>
      <c r="F116" s="273"/>
      <c r="G116" s="273"/>
      <c r="H116" s="273"/>
      <c r="I116" s="273"/>
      <c r="J116" s="273"/>
      <c r="K116" s="273"/>
      <c r="L116" s="274"/>
      <c r="M116" s="275"/>
      <c r="N116" s="116"/>
      <c r="O116" s="116"/>
      <c r="P116" s="116"/>
    </row>
    <row r="117" spans="1:16" hidden="1">
      <c r="A117" s="270" t="s">
        <v>218</v>
      </c>
      <c r="B117" s="271"/>
      <c r="C117" s="272"/>
      <c r="D117" s="272"/>
      <c r="E117" s="273"/>
      <c r="F117" s="273"/>
      <c r="G117" s="273"/>
      <c r="H117" s="273"/>
      <c r="I117" s="273"/>
      <c r="J117" s="273"/>
      <c r="K117" s="273"/>
      <c r="L117" s="274"/>
      <c r="M117" s="275"/>
      <c r="N117" s="116"/>
      <c r="O117" s="116"/>
      <c r="P117" s="116"/>
    </row>
    <row r="118" spans="1:16" hidden="1">
      <c r="A118" s="270" t="s">
        <v>219</v>
      </c>
      <c r="B118" s="271"/>
      <c r="C118" s="272"/>
      <c r="D118" s="272"/>
      <c r="E118" s="273"/>
      <c r="F118" s="273"/>
      <c r="G118" s="273"/>
      <c r="H118" s="273"/>
      <c r="I118" s="273"/>
      <c r="J118" s="273"/>
      <c r="K118" s="273"/>
      <c r="L118" s="274"/>
      <c r="M118" s="275"/>
      <c r="N118" s="116"/>
      <c r="O118" s="116"/>
      <c r="P118" s="116"/>
    </row>
    <row r="119" spans="1:16" hidden="1">
      <c r="A119" s="270" t="s">
        <v>220</v>
      </c>
      <c r="B119" s="271"/>
      <c r="C119" s="272"/>
      <c r="D119" s="272"/>
      <c r="E119" s="273"/>
      <c r="F119" s="273"/>
      <c r="G119" s="273"/>
      <c r="H119" s="273"/>
      <c r="I119" s="273"/>
      <c r="J119" s="273"/>
      <c r="K119" s="273"/>
      <c r="L119" s="274"/>
      <c r="M119" s="275"/>
      <c r="N119" s="116"/>
      <c r="O119" s="116"/>
      <c r="P119" s="116"/>
    </row>
    <row r="120" spans="1:16" hidden="1">
      <c r="A120" s="270" t="s">
        <v>221</v>
      </c>
      <c r="B120" s="271"/>
      <c r="C120" s="272"/>
      <c r="D120" s="272"/>
      <c r="E120" s="273"/>
      <c r="F120" s="273"/>
      <c r="G120" s="273"/>
      <c r="H120" s="273"/>
      <c r="I120" s="273"/>
      <c r="J120" s="273"/>
      <c r="K120" s="273"/>
      <c r="L120" s="274"/>
      <c r="M120" s="275"/>
      <c r="N120" s="116"/>
      <c r="O120" s="116"/>
      <c r="P120" s="116"/>
    </row>
    <row r="121" spans="1:16" hidden="1">
      <c r="A121" s="270" t="s">
        <v>222</v>
      </c>
      <c r="B121" s="271"/>
      <c r="C121" s="272"/>
      <c r="D121" s="272"/>
      <c r="E121" s="273"/>
      <c r="F121" s="273"/>
      <c r="G121" s="273"/>
      <c r="H121" s="273"/>
      <c r="I121" s="273"/>
      <c r="J121" s="273"/>
      <c r="K121" s="273"/>
      <c r="L121" s="274"/>
      <c r="M121" s="275"/>
      <c r="N121" s="116"/>
      <c r="O121" s="116"/>
      <c r="P121" s="116"/>
    </row>
    <row r="122" spans="1:16" hidden="1">
      <c r="A122" s="270" t="s">
        <v>223</v>
      </c>
      <c r="B122" s="271"/>
      <c r="C122" s="272"/>
      <c r="D122" s="272"/>
      <c r="E122" s="273"/>
      <c r="F122" s="273"/>
      <c r="G122" s="273"/>
      <c r="H122" s="273"/>
      <c r="I122" s="273"/>
      <c r="J122" s="273"/>
      <c r="K122" s="273"/>
      <c r="L122" s="274"/>
      <c r="M122" s="275"/>
      <c r="N122" s="116"/>
      <c r="O122" s="116"/>
      <c r="P122" s="116"/>
    </row>
    <row r="123" spans="1:16" hidden="1">
      <c r="A123" s="270" t="s">
        <v>224</v>
      </c>
      <c r="B123" s="271"/>
      <c r="C123" s="272"/>
      <c r="D123" s="272"/>
      <c r="E123" s="273"/>
      <c r="F123" s="273"/>
      <c r="G123" s="273"/>
      <c r="H123" s="273"/>
      <c r="I123" s="273"/>
      <c r="J123" s="273"/>
      <c r="K123" s="273"/>
      <c r="L123" s="274"/>
      <c r="M123" s="275"/>
      <c r="N123" s="116"/>
      <c r="O123" s="116"/>
      <c r="P123" s="116"/>
    </row>
    <row r="124" spans="1:16" hidden="1">
      <c r="A124" s="270" t="s">
        <v>225</v>
      </c>
      <c r="B124" s="271"/>
      <c r="C124" s="272"/>
      <c r="D124" s="272"/>
      <c r="E124" s="273"/>
      <c r="F124" s="273"/>
      <c r="G124" s="273"/>
      <c r="H124" s="273"/>
      <c r="I124" s="273"/>
      <c r="J124" s="273"/>
      <c r="K124" s="273"/>
      <c r="L124" s="274"/>
      <c r="M124" s="275"/>
      <c r="N124" s="116"/>
      <c r="O124" s="116"/>
      <c r="P124" s="116"/>
    </row>
    <row r="125" spans="1:16" hidden="1">
      <c r="A125" s="270" t="s">
        <v>226</v>
      </c>
      <c r="B125" s="271"/>
      <c r="C125" s="272"/>
      <c r="D125" s="272"/>
      <c r="E125" s="273"/>
      <c r="F125" s="273"/>
      <c r="G125" s="273"/>
      <c r="H125" s="273"/>
      <c r="I125" s="273"/>
      <c r="J125" s="273"/>
      <c r="K125" s="273"/>
      <c r="L125" s="274"/>
      <c r="M125" s="275"/>
      <c r="N125" s="116"/>
      <c r="O125" s="116"/>
      <c r="P125" s="116"/>
    </row>
    <row r="126" spans="1:16" hidden="1">
      <c r="A126" s="270" t="s">
        <v>227</v>
      </c>
      <c r="B126" s="271"/>
      <c r="C126" s="272"/>
      <c r="D126" s="272"/>
      <c r="E126" s="273"/>
      <c r="F126" s="273"/>
      <c r="G126" s="273"/>
      <c r="H126" s="273"/>
      <c r="I126" s="273"/>
      <c r="J126" s="273"/>
      <c r="K126" s="273"/>
      <c r="L126" s="274"/>
      <c r="M126" s="275"/>
      <c r="N126" s="116"/>
      <c r="O126" s="116"/>
      <c r="P126" s="116"/>
    </row>
    <row r="127" spans="1:16" hidden="1">
      <c r="A127" s="270" t="s">
        <v>228</v>
      </c>
      <c r="B127" s="271"/>
      <c r="C127" s="272"/>
      <c r="D127" s="272"/>
      <c r="E127" s="273"/>
      <c r="F127" s="273"/>
      <c r="G127" s="273"/>
      <c r="H127" s="273"/>
      <c r="I127" s="273"/>
      <c r="J127" s="273"/>
      <c r="K127" s="273"/>
      <c r="L127" s="274"/>
      <c r="M127" s="275"/>
      <c r="N127" s="116"/>
      <c r="O127" s="116"/>
      <c r="P127" s="116"/>
    </row>
    <row r="128" spans="1:16" hidden="1">
      <c r="A128" s="270" t="s">
        <v>229</v>
      </c>
      <c r="B128" s="271"/>
      <c r="C128" s="272"/>
      <c r="D128" s="272"/>
      <c r="E128" s="273"/>
      <c r="F128" s="273"/>
      <c r="G128" s="273"/>
      <c r="H128" s="273"/>
      <c r="I128" s="273"/>
      <c r="J128" s="273"/>
      <c r="K128" s="273"/>
      <c r="L128" s="274"/>
      <c r="M128" s="275"/>
      <c r="N128" s="116"/>
      <c r="O128" s="116"/>
      <c r="P128" s="116"/>
    </row>
    <row r="129" spans="1:16" hidden="1">
      <c r="A129" s="270" t="s">
        <v>230</v>
      </c>
      <c r="B129" s="271"/>
      <c r="C129" s="272"/>
      <c r="D129" s="272"/>
      <c r="E129" s="273"/>
      <c r="F129" s="273"/>
      <c r="G129" s="273"/>
      <c r="H129" s="273"/>
      <c r="I129" s="273"/>
      <c r="J129" s="273"/>
      <c r="K129" s="273"/>
      <c r="L129" s="274"/>
      <c r="M129" s="275"/>
      <c r="N129" s="116"/>
      <c r="O129" s="116"/>
      <c r="P129" s="116"/>
    </row>
    <row r="130" spans="1:16" hidden="1">
      <c r="A130" s="270" t="s">
        <v>231</v>
      </c>
      <c r="B130" s="271"/>
      <c r="C130" s="272"/>
      <c r="D130" s="272"/>
      <c r="E130" s="273"/>
      <c r="F130" s="273"/>
      <c r="G130" s="273"/>
      <c r="H130" s="273"/>
      <c r="I130" s="273"/>
      <c r="J130" s="273"/>
      <c r="K130" s="273"/>
      <c r="L130" s="274"/>
      <c r="M130" s="275"/>
      <c r="N130" s="116"/>
      <c r="O130" s="116"/>
      <c r="P130" s="116"/>
    </row>
    <row r="131" spans="1:16" hidden="1">
      <c r="A131" s="270" t="s">
        <v>232</v>
      </c>
      <c r="B131" s="271"/>
      <c r="C131" s="272"/>
      <c r="D131" s="272"/>
      <c r="E131" s="273"/>
      <c r="F131" s="273"/>
      <c r="G131" s="273"/>
      <c r="H131" s="273"/>
      <c r="I131" s="273"/>
      <c r="J131" s="273"/>
      <c r="K131" s="273"/>
      <c r="L131" s="274"/>
      <c r="M131" s="275"/>
      <c r="N131" s="116"/>
      <c r="O131" s="116"/>
      <c r="P131" s="116"/>
    </row>
    <row r="132" spans="1:16" hidden="1">
      <c r="A132" s="270" t="s">
        <v>233</v>
      </c>
      <c r="B132" s="271"/>
      <c r="C132" s="272"/>
      <c r="D132" s="272"/>
      <c r="E132" s="273"/>
      <c r="F132" s="273"/>
      <c r="G132" s="273"/>
      <c r="H132" s="273"/>
      <c r="I132" s="273"/>
      <c r="J132" s="273"/>
      <c r="K132" s="273"/>
      <c r="L132" s="274"/>
      <c r="M132" s="275"/>
      <c r="N132" s="116"/>
      <c r="O132" s="116"/>
      <c r="P132" s="116"/>
    </row>
    <row r="133" spans="1:16" hidden="1">
      <c r="A133" s="270" t="s">
        <v>234</v>
      </c>
      <c r="B133" s="271"/>
      <c r="C133" s="272"/>
      <c r="D133" s="272"/>
      <c r="E133" s="273"/>
      <c r="F133" s="273"/>
      <c r="G133" s="273"/>
      <c r="H133" s="273"/>
      <c r="I133" s="273"/>
      <c r="J133" s="273"/>
      <c r="K133" s="273"/>
      <c r="L133" s="274"/>
      <c r="M133" s="275"/>
      <c r="N133" s="116"/>
      <c r="O133" s="116"/>
      <c r="P133" s="116"/>
    </row>
    <row r="134" spans="1:16" hidden="1">
      <c r="A134" s="270" t="s">
        <v>235</v>
      </c>
      <c r="B134" s="271"/>
      <c r="C134" s="272"/>
      <c r="D134" s="272"/>
      <c r="E134" s="273"/>
      <c r="F134" s="273"/>
      <c r="G134" s="273"/>
      <c r="H134" s="273"/>
      <c r="I134" s="273"/>
      <c r="J134" s="273"/>
      <c r="K134" s="273"/>
      <c r="L134" s="274"/>
      <c r="M134" s="275"/>
      <c r="N134" s="116"/>
      <c r="O134" s="116"/>
      <c r="P134" s="116"/>
    </row>
    <row r="135" spans="1:16" hidden="1">
      <c r="A135" s="270" t="s">
        <v>236</v>
      </c>
      <c r="B135" s="271"/>
      <c r="C135" s="272"/>
      <c r="D135" s="272"/>
      <c r="E135" s="273"/>
      <c r="F135" s="273"/>
      <c r="G135" s="273"/>
      <c r="H135" s="273"/>
      <c r="I135" s="273"/>
      <c r="J135" s="273"/>
      <c r="K135" s="273"/>
      <c r="L135" s="274"/>
      <c r="M135" s="275"/>
      <c r="N135" s="116"/>
      <c r="O135" s="116"/>
      <c r="P135" s="116"/>
    </row>
    <row r="136" spans="1:16" hidden="1">
      <c r="A136" s="270" t="s">
        <v>237</v>
      </c>
      <c r="B136" s="271"/>
      <c r="C136" s="272"/>
      <c r="D136" s="272"/>
      <c r="E136" s="273"/>
      <c r="F136" s="273"/>
      <c r="G136" s="273"/>
      <c r="H136" s="273"/>
      <c r="I136" s="273"/>
      <c r="J136" s="273"/>
      <c r="K136" s="273"/>
      <c r="L136" s="274"/>
      <c r="M136" s="275"/>
      <c r="N136" s="116"/>
      <c r="O136" s="116"/>
      <c r="P136" s="116"/>
    </row>
    <row r="137" spans="1:16" hidden="1">
      <c r="A137" s="270" t="s">
        <v>238</v>
      </c>
      <c r="B137" s="271"/>
      <c r="C137" s="272"/>
      <c r="D137" s="272"/>
      <c r="E137" s="273"/>
      <c r="F137" s="273"/>
      <c r="G137" s="273"/>
      <c r="H137" s="273"/>
      <c r="I137" s="273"/>
      <c r="J137" s="273"/>
      <c r="K137" s="273"/>
      <c r="L137" s="274"/>
      <c r="M137" s="275"/>
      <c r="N137" s="116"/>
      <c r="O137" s="116"/>
      <c r="P137" s="116"/>
    </row>
    <row r="138" spans="1:16" hidden="1">
      <c r="A138" s="270" t="s">
        <v>239</v>
      </c>
      <c r="B138" s="271"/>
      <c r="C138" s="272"/>
      <c r="D138" s="272"/>
      <c r="E138" s="273"/>
      <c r="F138" s="273"/>
      <c r="G138" s="273"/>
      <c r="H138" s="273"/>
      <c r="I138" s="273"/>
      <c r="J138" s="273"/>
      <c r="K138" s="273"/>
      <c r="L138" s="274"/>
      <c r="M138" s="275"/>
      <c r="N138" s="116"/>
      <c r="O138" s="116"/>
      <c r="P138" s="116"/>
    </row>
    <row r="139" spans="1:16" hidden="1">
      <c r="A139" s="270" t="s">
        <v>240</v>
      </c>
      <c r="B139" s="271"/>
      <c r="C139" s="272"/>
      <c r="D139" s="272"/>
      <c r="E139" s="273"/>
      <c r="F139" s="273"/>
      <c r="G139" s="273"/>
      <c r="H139" s="273"/>
      <c r="I139" s="273"/>
      <c r="J139" s="273"/>
      <c r="K139" s="273"/>
      <c r="L139" s="274"/>
      <c r="M139" s="275"/>
      <c r="N139" s="116"/>
      <c r="O139" s="116"/>
      <c r="P139" s="116"/>
    </row>
    <row r="140" spans="1:16" hidden="1">
      <c r="A140" s="270" t="s">
        <v>241</v>
      </c>
      <c r="B140" s="271"/>
      <c r="C140" s="272"/>
      <c r="D140" s="272"/>
      <c r="E140" s="273"/>
      <c r="F140" s="273"/>
      <c r="G140" s="273"/>
      <c r="H140" s="273"/>
      <c r="I140" s="273"/>
      <c r="J140" s="273"/>
      <c r="K140" s="273"/>
      <c r="L140" s="274"/>
      <c r="M140" s="275"/>
      <c r="N140" s="116"/>
      <c r="O140" s="116"/>
      <c r="P140" s="116"/>
    </row>
    <row r="141" spans="1:16" hidden="1">
      <c r="A141" s="270" t="s">
        <v>242</v>
      </c>
      <c r="B141" s="271"/>
      <c r="C141" s="272"/>
      <c r="D141" s="272"/>
      <c r="E141" s="273"/>
      <c r="F141" s="273"/>
      <c r="G141" s="273"/>
      <c r="H141" s="273"/>
      <c r="I141" s="273"/>
      <c r="J141" s="273"/>
      <c r="K141" s="273"/>
      <c r="L141" s="274"/>
      <c r="M141" s="275"/>
      <c r="N141" s="116"/>
      <c r="O141" s="116"/>
      <c r="P141" s="116"/>
    </row>
    <row r="142" spans="1:16" hidden="1">
      <c r="A142" s="270" t="s">
        <v>243</v>
      </c>
      <c r="B142" s="271"/>
      <c r="C142" s="272"/>
      <c r="D142" s="272"/>
      <c r="E142" s="273"/>
      <c r="F142" s="273"/>
      <c r="G142" s="273"/>
      <c r="H142" s="273"/>
      <c r="I142" s="273"/>
      <c r="J142" s="273"/>
      <c r="K142" s="273"/>
      <c r="L142" s="274"/>
      <c r="M142" s="275"/>
      <c r="N142" s="116"/>
      <c r="O142" s="116"/>
      <c r="P142" s="116"/>
    </row>
    <row r="143" spans="1:16" hidden="1">
      <c r="A143" s="270" t="s">
        <v>244</v>
      </c>
      <c r="B143" s="271"/>
      <c r="C143" s="272"/>
      <c r="D143" s="272"/>
      <c r="E143" s="273"/>
      <c r="F143" s="273"/>
      <c r="G143" s="273"/>
      <c r="H143" s="273"/>
      <c r="I143" s="273"/>
      <c r="J143" s="273"/>
      <c r="K143" s="273"/>
      <c r="L143" s="274"/>
      <c r="M143" s="275"/>
      <c r="N143" s="116"/>
      <c r="O143" s="116"/>
      <c r="P143" s="116"/>
    </row>
    <row r="144" spans="1:16" hidden="1">
      <c r="A144" s="270" t="s">
        <v>245</v>
      </c>
      <c r="B144" s="271"/>
      <c r="C144" s="272"/>
      <c r="D144" s="272"/>
      <c r="E144" s="273"/>
      <c r="F144" s="273"/>
      <c r="G144" s="273"/>
      <c r="H144" s="273"/>
      <c r="I144" s="273"/>
      <c r="J144" s="273"/>
      <c r="K144" s="273"/>
      <c r="L144" s="274"/>
      <c r="M144" s="275"/>
      <c r="N144" s="116"/>
      <c r="O144" s="116"/>
      <c r="P144" s="116"/>
    </row>
    <row r="145" spans="1:17" hidden="1">
      <c r="A145" s="270" t="s">
        <v>246</v>
      </c>
      <c r="B145" s="271"/>
      <c r="C145" s="272"/>
      <c r="D145" s="272"/>
      <c r="E145" s="273"/>
      <c r="F145" s="273"/>
      <c r="G145" s="273"/>
      <c r="H145" s="273"/>
      <c r="I145" s="273"/>
      <c r="J145" s="273"/>
      <c r="K145" s="273"/>
      <c r="L145" s="274"/>
      <c r="M145" s="275"/>
      <c r="N145" s="116"/>
      <c r="O145" s="116"/>
      <c r="P145" s="116"/>
    </row>
    <row r="146" spans="1:17" hidden="1">
      <c r="A146" s="270" t="s">
        <v>247</v>
      </c>
      <c r="B146" s="271"/>
      <c r="C146" s="272"/>
      <c r="D146" s="272"/>
      <c r="E146" s="273"/>
      <c r="F146" s="273"/>
      <c r="G146" s="273"/>
      <c r="H146" s="273"/>
      <c r="I146" s="273"/>
      <c r="J146" s="273"/>
      <c r="K146" s="273"/>
      <c r="L146" s="274"/>
      <c r="M146" s="275"/>
      <c r="N146" s="116"/>
      <c r="O146" s="116"/>
      <c r="P146" s="116"/>
    </row>
    <row r="147" spans="1:17" hidden="1">
      <c r="A147" s="270" t="s">
        <v>248</v>
      </c>
      <c r="B147" s="271"/>
      <c r="C147" s="272"/>
      <c r="D147" s="272"/>
      <c r="E147" s="273"/>
      <c r="F147" s="273"/>
      <c r="G147" s="273"/>
      <c r="H147" s="273"/>
      <c r="I147" s="273"/>
      <c r="J147" s="273"/>
      <c r="K147" s="273"/>
      <c r="L147" s="274"/>
      <c r="M147" s="275"/>
      <c r="N147" s="116"/>
      <c r="O147" s="116"/>
      <c r="P147" s="116"/>
    </row>
    <row r="148" spans="1:17" hidden="1">
      <c r="A148" s="270" t="s">
        <v>249</v>
      </c>
      <c r="B148" s="271"/>
      <c r="C148" s="272"/>
      <c r="D148" s="272"/>
      <c r="E148" s="273"/>
      <c r="F148" s="273"/>
      <c r="G148" s="273"/>
      <c r="H148" s="273"/>
      <c r="I148" s="273"/>
      <c r="J148" s="273"/>
      <c r="K148" s="273"/>
      <c r="L148" s="274"/>
      <c r="M148" s="275"/>
      <c r="N148" s="116"/>
      <c r="O148" s="116"/>
      <c r="P148" s="116"/>
    </row>
    <row r="149" spans="1:17" hidden="1">
      <c r="A149" s="270" t="s">
        <v>250</v>
      </c>
      <c r="B149" s="271"/>
      <c r="C149" s="272"/>
      <c r="D149" s="272"/>
      <c r="E149" s="273"/>
      <c r="F149" s="273"/>
      <c r="G149" s="273"/>
      <c r="H149" s="273"/>
      <c r="I149" s="273"/>
      <c r="J149" s="273"/>
      <c r="K149" s="273"/>
      <c r="L149" s="274"/>
      <c r="M149" s="275"/>
      <c r="N149" s="116"/>
      <c r="O149" s="116"/>
      <c r="P149" s="116"/>
    </row>
    <row r="150" spans="1:17" hidden="1">
      <c r="A150" s="270"/>
      <c r="B150" s="271"/>
      <c r="C150" s="272"/>
      <c r="D150" s="272"/>
      <c r="E150" s="273"/>
      <c r="F150" s="273"/>
      <c r="G150" s="273"/>
      <c r="H150" s="273"/>
      <c r="I150" s="273"/>
      <c r="J150" s="273"/>
      <c r="K150" s="273"/>
      <c r="L150" s="274"/>
      <c r="M150" s="275"/>
      <c r="N150" s="116"/>
      <c r="O150" s="116"/>
      <c r="P150" s="116"/>
    </row>
    <row r="151" spans="1:17" hidden="1">
      <c r="A151" s="270"/>
      <c r="B151" s="271"/>
      <c r="C151" s="272"/>
      <c r="D151" s="272"/>
      <c r="E151" s="273"/>
      <c r="F151" s="273"/>
      <c r="G151" s="273"/>
      <c r="H151" s="273"/>
      <c r="I151" s="273"/>
      <c r="J151" s="273"/>
      <c r="K151" s="273"/>
      <c r="L151" s="274"/>
      <c r="M151" s="275"/>
      <c r="N151" s="116"/>
      <c r="O151" s="116"/>
      <c r="P151" s="116"/>
    </row>
    <row r="152" spans="1:17" hidden="1">
      <c r="A152" s="270"/>
      <c r="B152" s="271"/>
      <c r="C152" s="272"/>
      <c r="D152" s="272"/>
      <c r="E152" s="273"/>
      <c r="F152" s="273"/>
      <c r="G152" s="273"/>
      <c r="H152" s="273"/>
      <c r="I152" s="273"/>
      <c r="J152" s="273"/>
      <c r="K152" s="273"/>
      <c r="L152" s="274"/>
      <c r="M152" s="275"/>
      <c r="N152" s="116"/>
      <c r="O152" s="116"/>
      <c r="P152" s="116"/>
    </row>
    <row r="153" spans="1:17" ht="13.5" hidden="1" thickBot="1">
      <c r="A153" s="270"/>
      <c r="B153" s="271"/>
      <c r="C153" s="272"/>
      <c r="D153" s="272"/>
      <c r="E153" s="273"/>
      <c r="F153" s="273"/>
      <c r="G153" s="273"/>
      <c r="H153" s="273"/>
      <c r="I153" s="273"/>
      <c r="J153" s="273"/>
      <c r="K153" s="273"/>
      <c r="L153" s="274"/>
      <c r="M153" s="275"/>
      <c r="N153" s="116"/>
      <c r="O153" s="121">
        <f>SUM(O10:O152)</f>
        <v>267940.16315081238</v>
      </c>
      <c r="P153" s="121"/>
      <c r="Q153" s="196">
        <f>SUM(Q44:Q152)</f>
        <v>396823.52331140439</v>
      </c>
    </row>
    <row r="154" spans="1:17" hidden="1">
      <c r="A154" s="270"/>
      <c r="B154" s="271"/>
      <c r="C154" s="272"/>
      <c r="D154" s="272"/>
      <c r="E154" s="273"/>
      <c r="F154" s="273"/>
      <c r="G154" s="273"/>
      <c r="H154" s="273"/>
      <c r="I154" s="273"/>
      <c r="J154" s="273"/>
      <c r="K154" s="273"/>
      <c r="L154" s="274"/>
      <c r="M154" s="275"/>
      <c r="N154" s="116"/>
      <c r="O154" s="121"/>
      <c r="P154" s="121"/>
      <c r="Q154" s="197"/>
    </row>
    <row r="155" spans="1:17" hidden="1">
      <c r="A155" s="270"/>
      <c r="B155" s="271"/>
      <c r="C155" s="272"/>
      <c r="D155" s="272"/>
      <c r="E155" s="273"/>
      <c r="F155" s="273"/>
      <c r="G155" s="273"/>
      <c r="H155" s="273"/>
      <c r="I155" s="273"/>
      <c r="J155" s="273"/>
      <c r="K155" s="273"/>
      <c r="L155" s="274"/>
      <c r="M155" s="275"/>
      <c r="N155" s="116"/>
      <c r="O155" s="121"/>
      <c r="P155" s="121"/>
      <c r="Q155" s="197"/>
    </row>
    <row r="156" spans="1:17" hidden="1">
      <c r="A156" s="270"/>
      <c r="B156" s="271"/>
      <c r="C156" s="272"/>
      <c r="D156" s="272"/>
      <c r="E156" s="273"/>
      <c r="F156" s="273"/>
      <c r="G156" s="273"/>
      <c r="H156" s="273"/>
      <c r="I156" s="273"/>
      <c r="J156" s="273"/>
      <c r="K156" s="273"/>
      <c r="L156" s="274"/>
      <c r="M156" s="275"/>
      <c r="N156" s="116"/>
      <c r="O156" s="121"/>
      <c r="P156" s="121"/>
      <c r="Q156" s="197"/>
    </row>
    <row r="157" spans="1:17" hidden="1">
      <c r="A157" s="270"/>
      <c r="B157" s="271"/>
      <c r="C157" s="272"/>
      <c r="D157" s="272"/>
      <c r="E157" s="273"/>
      <c r="F157" s="273"/>
      <c r="G157" s="273"/>
      <c r="H157" s="273"/>
      <c r="I157" s="273"/>
      <c r="J157" s="273"/>
      <c r="K157" s="273"/>
      <c r="L157" s="274"/>
      <c r="M157" s="275"/>
      <c r="N157" s="116"/>
      <c r="O157" s="121"/>
      <c r="P157" s="121"/>
      <c r="Q157" s="197"/>
    </row>
    <row r="158" spans="1:17" hidden="1">
      <c r="A158" s="270"/>
      <c r="B158" s="271"/>
      <c r="C158" s="272"/>
      <c r="D158" s="272"/>
      <c r="E158" s="273"/>
      <c r="F158" s="273"/>
      <c r="G158" s="273"/>
      <c r="H158" s="273"/>
      <c r="I158" s="273"/>
      <c r="J158" s="273"/>
      <c r="K158" s="273"/>
      <c r="L158" s="274"/>
      <c r="M158" s="275"/>
      <c r="N158" s="116"/>
      <c r="O158" s="121"/>
      <c r="P158" s="121"/>
      <c r="Q158" s="197"/>
    </row>
    <row r="159" spans="1:17" hidden="1">
      <c r="A159" s="270"/>
      <c r="B159" s="271"/>
      <c r="C159" s="272"/>
      <c r="D159" s="272"/>
      <c r="E159" s="273"/>
      <c r="F159" s="273"/>
      <c r="G159" s="273"/>
      <c r="H159" s="273"/>
      <c r="I159" s="273"/>
      <c r="J159" s="273"/>
      <c r="K159" s="273"/>
      <c r="L159" s="274"/>
      <c r="M159" s="275"/>
      <c r="N159" s="116"/>
      <c r="O159" s="121"/>
      <c r="P159" s="121"/>
      <c r="Q159" s="197"/>
    </row>
    <row r="160" spans="1:17" hidden="1">
      <c r="A160" s="270"/>
      <c r="B160" s="271"/>
      <c r="C160" s="272"/>
      <c r="D160" s="272"/>
      <c r="E160" s="273"/>
      <c r="F160" s="273"/>
      <c r="G160" s="273"/>
      <c r="H160" s="273"/>
      <c r="I160" s="273"/>
      <c r="J160" s="273"/>
      <c r="K160" s="273"/>
      <c r="L160" s="274"/>
      <c r="M160" s="275"/>
      <c r="N160" s="116"/>
      <c r="O160" s="121"/>
      <c r="P160" s="121"/>
      <c r="Q160" s="197"/>
    </row>
    <row r="161" spans="1:17" hidden="1">
      <c r="A161" s="276"/>
      <c r="B161" s="277"/>
      <c r="C161" s="721" t="s">
        <v>1</v>
      </c>
      <c r="D161" s="721"/>
      <c r="E161" s="721"/>
      <c r="F161" s="278">
        <f>SUM(F10:F149)</f>
        <v>21800000</v>
      </c>
      <c r="G161" s="278">
        <f>SUM(G10:G149)</f>
        <v>38520000</v>
      </c>
      <c r="H161" s="279">
        <f>SUM(H10:H149)</f>
        <v>8098549.9999999302</v>
      </c>
      <c r="I161" s="280">
        <f>SUM(I10:I57)</f>
        <v>1767712.0766897509</v>
      </c>
      <c r="J161" s="280">
        <f>SUM(J10:J57)</f>
        <v>4113542.9102563993</v>
      </c>
      <c r="K161" s="279">
        <f>SUM(K10:K149)</f>
        <v>4087000</v>
      </c>
      <c r="L161" s="280">
        <f>SUM(L10:L149)</f>
        <v>70212804.986946076</v>
      </c>
      <c r="M161" s="275"/>
      <c r="N161" s="116">
        <f>SUM(N10:N153)</f>
        <v>3884953.0982610965</v>
      </c>
      <c r="O161" s="116"/>
      <c r="P161" s="121">
        <f>SUM(P10:P153)</f>
        <v>4152893.261411909</v>
      </c>
      <c r="Q161" s="194">
        <f>N161+Q153</f>
        <v>4281776.621572501</v>
      </c>
    </row>
    <row r="162" spans="1:17" ht="15" hidden="1">
      <c r="A162" s="276"/>
      <c r="B162" s="277"/>
      <c r="C162" s="281"/>
      <c r="D162" s="281"/>
      <c r="E162" s="281"/>
      <c r="F162" s="278"/>
      <c r="G162" s="278"/>
      <c r="H162" s="272"/>
      <c r="I162" s="282">
        <f>(H161+I161+J161)-K161</f>
        <v>9892804.9869460799</v>
      </c>
      <c r="J162" s="282"/>
      <c r="K162" s="283"/>
      <c r="L162" s="280">
        <f>F161+G161+I162</f>
        <v>70212804.986946076</v>
      </c>
      <c r="M162" s="275"/>
      <c r="N162" s="116"/>
      <c r="O162" s="116"/>
      <c r="P162" s="121"/>
      <c r="Q162" s="194"/>
    </row>
    <row r="163" spans="1:17" ht="15.75" thickBot="1">
      <c r="A163" s="715"/>
      <c r="B163" s="716"/>
      <c r="C163" s="716"/>
      <c r="D163" s="716"/>
      <c r="E163" s="284" t="s">
        <v>0</v>
      </c>
      <c r="F163" s="284"/>
      <c r="G163" s="284"/>
      <c r="H163" s="284"/>
      <c r="I163" s="284"/>
      <c r="J163" s="284"/>
      <c r="K163" s="284"/>
      <c r="L163" s="285">
        <f>[1]TOTAL!C5</f>
        <v>25424250</v>
      </c>
      <c r="M163" s="286"/>
      <c r="N163" s="121"/>
      <c r="O163" s="121"/>
      <c r="P163" s="121"/>
    </row>
    <row r="165" spans="1:17">
      <c r="C165" s="213" t="s">
        <v>0</v>
      </c>
      <c r="D165" s="213"/>
      <c r="I165" s="170" t="s">
        <v>407</v>
      </c>
      <c r="L165" s="171">
        <f>TOTAL!C5</f>
        <v>74233396.780954257</v>
      </c>
      <c r="M165" s="214"/>
    </row>
    <row r="166" spans="1:17">
      <c r="C166" s="213"/>
      <c r="D166" s="213"/>
      <c r="L166" s="171">
        <f>L161-L165</f>
        <v>-4020591.7940081805</v>
      </c>
    </row>
    <row r="169" spans="1:17">
      <c r="C169" s="152" t="s">
        <v>0</v>
      </c>
    </row>
  </sheetData>
  <mergeCells count="14">
    <mergeCell ref="A163:D163"/>
    <mergeCell ref="A4:M4"/>
    <mergeCell ref="N6:O7"/>
    <mergeCell ref="F7:F8"/>
    <mergeCell ref="G7:G8"/>
    <mergeCell ref="H7:K7"/>
    <mergeCell ref="L7:L8"/>
    <mergeCell ref="C161:E161"/>
    <mergeCell ref="A6:A8"/>
    <mergeCell ref="B6:B8"/>
    <mergeCell ref="C6:C8"/>
    <mergeCell ref="D6:D8"/>
    <mergeCell ref="F6:L6"/>
    <mergeCell ref="M6:M8"/>
  </mergeCells>
  <printOptions horizontalCentered="1"/>
  <pageMargins left="0.31496062992125984" right="0.70866141732283472" top="0.35433070866141736" bottom="0.35433070866141736" header="0.31496062992125984" footer="0.31496062992125984"/>
  <pageSetup paperSize="5" scale="90" orientation="landscape" horizontalDpi="4294967293" verticalDpi="0" r:id="rId1"/>
  <drawing r:id="rId2"/>
  <legacyDrawing r:id="rId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F60"/>
  <sheetViews>
    <sheetView topLeftCell="A52" workbookViewId="0">
      <selection activeCell="A7" sqref="A7:G11"/>
    </sheetView>
  </sheetViews>
  <sheetFormatPr defaultRowHeight="12.75"/>
  <cols>
    <col min="1" max="1" width="7.28515625" customWidth="1"/>
    <col min="2" max="2" width="7.140625" customWidth="1"/>
    <col min="3" max="3" width="25.5703125" customWidth="1"/>
    <col min="4" max="4" width="14.7109375" customWidth="1"/>
    <col min="5" max="5" width="39.5703125" customWidth="1"/>
    <col min="6" max="6" width="27.140625" customWidth="1"/>
  </cols>
  <sheetData>
    <row r="1" spans="1:6" ht="18">
      <c r="A1" s="733" t="s">
        <v>761</v>
      </c>
      <c r="B1" s="733"/>
      <c r="C1" s="733"/>
      <c r="D1" s="733"/>
      <c r="E1" s="733"/>
      <c r="F1" s="733"/>
    </row>
    <row r="2" spans="1:6" ht="18">
      <c r="A2" s="733" t="s">
        <v>791</v>
      </c>
      <c r="B2" s="733"/>
      <c r="C2" s="733"/>
      <c r="D2" s="733"/>
      <c r="E2" s="733"/>
      <c r="F2" s="733"/>
    </row>
    <row r="3" spans="1:6" ht="18">
      <c r="A3" s="733" t="s">
        <v>790</v>
      </c>
      <c r="B3" s="733"/>
      <c r="C3" s="733"/>
      <c r="D3" s="733"/>
      <c r="E3" s="733"/>
      <c r="F3" s="733"/>
    </row>
    <row r="4" spans="1:6" ht="18">
      <c r="A4" s="436"/>
      <c r="B4" s="436"/>
      <c r="C4" s="436"/>
      <c r="D4" s="436"/>
      <c r="E4" s="436"/>
      <c r="F4" s="437" t="s">
        <v>792</v>
      </c>
    </row>
    <row r="5" spans="1:6">
      <c r="A5" s="734" t="s">
        <v>759</v>
      </c>
      <c r="B5" s="734" t="s">
        <v>9</v>
      </c>
      <c r="C5" s="734" t="s">
        <v>2</v>
      </c>
      <c r="D5" s="734" t="s">
        <v>789</v>
      </c>
      <c r="E5" s="734" t="s">
        <v>788</v>
      </c>
      <c r="F5" s="734" t="s">
        <v>787</v>
      </c>
    </row>
    <row r="6" spans="1:6">
      <c r="A6" s="734"/>
      <c r="B6" s="734"/>
      <c r="C6" s="734"/>
      <c r="D6" s="734"/>
      <c r="E6" s="734"/>
      <c r="F6" s="734"/>
    </row>
    <row r="7" spans="1:6" s="440" customFormat="1" ht="23.25" customHeight="1">
      <c r="A7" s="438">
        <v>1</v>
      </c>
      <c r="B7" s="439" t="s">
        <v>63</v>
      </c>
      <c r="C7" s="439" t="s">
        <v>15</v>
      </c>
      <c r="D7" s="439" t="s">
        <v>17</v>
      </c>
      <c r="E7" s="439" t="s">
        <v>20</v>
      </c>
      <c r="F7" s="439"/>
    </row>
    <row r="8" spans="1:6" s="440" customFormat="1" ht="23.25" customHeight="1">
      <c r="A8" s="438">
        <v>2</v>
      </c>
      <c r="B8" s="439" t="s">
        <v>64</v>
      </c>
      <c r="C8" s="439" t="s">
        <v>13</v>
      </c>
      <c r="D8" s="439" t="s">
        <v>18</v>
      </c>
      <c r="E8" s="439" t="s">
        <v>21</v>
      </c>
      <c r="F8" s="439"/>
    </row>
    <row r="9" spans="1:6" s="440" customFormat="1" ht="23.25" customHeight="1">
      <c r="A9" s="438">
        <v>3</v>
      </c>
      <c r="B9" s="439" t="s">
        <v>65</v>
      </c>
      <c r="C9" s="439" t="s">
        <v>22</v>
      </c>
      <c r="D9" s="439" t="s">
        <v>23</v>
      </c>
      <c r="E9" s="439" t="s">
        <v>24</v>
      </c>
      <c r="F9" s="439"/>
    </row>
    <row r="10" spans="1:6" s="440" customFormat="1" ht="23.25" customHeight="1">
      <c r="A10" s="438">
        <v>4</v>
      </c>
      <c r="B10" s="439" t="s">
        <v>67</v>
      </c>
      <c r="C10" s="439" t="s">
        <v>28</v>
      </c>
      <c r="D10" s="439" t="s">
        <v>29</v>
      </c>
      <c r="E10" s="439" t="s">
        <v>24</v>
      </c>
      <c r="F10" s="439"/>
    </row>
    <row r="11" spans="1:6" s="440" customFormat="1" ht="23.25" customHeight="1">
      <c r="A11" s="438">
        <v>5</v>
      </c>
      <c r="B11" s="439" t="s">
        <v>69</v>
      </c>
      <c r="C11" s="439" t="s">
        <v>32</v>
      </c>
      <c r="D11" s="439" t="s">
        <v>33</v>
      </c>
      <c r="E11" s="439" t="s">
        <v>34</v>
      </c>
      <c r="F11" s="439"/>
    </row>
    <row r="12" spans="1:6" s="440" customFormat="1" ht="23.25" customHeight="1">
      <c r="A12" s="438">
        <v>6</v>
      </c>
      <c r="B12" s="439" t="s">
        <v>70</v>
      </c>
      <c r="C12" s="439" t="s">
        <v>35</v>
      </c>
      <c r="D12" s="439" t="s">
        <v>36</v>
      </c>
      <c r="E12" s="439" t="s">
        <v>113</v>
      </c>
      <c r="F12" s="439"/>
    </row>
    <row r="13" spans="1:6" s="440" customFormat="1" ht="23.25" customHeight="1">
      <c r="A13" s="438">
        <v>7</v>
      </c>
      <c r="B13" s="439" t="s">
        <v>73</v>
      </c>
      <c r="C13" s="439" t="s">
        <v>42</v>
      </c>
      <c r="D13" s="439" t="s">
        <v>43</v>
      </c>
      <c r="E13" s="439" t="s">
        <v>44</v>
      </c>
      <c r="F13" s="439"/>
    </row>
    <row r="14" spans="1:6" s="440" customFormat="1" ht="23.25" customHeight="1">
      <c r="A14" s="438">
        <v>8</v>
      </c>
      <c r="B14" s="439" t="s">
        <v>74</v>
      </c>
      <c r="C14" s="439" t="s">
        <v>45</v>
      </c>
      <c r="D14" s="439" t="s">
        <v>46</v>
      </c>
      <c r="E14" s="439" t="s">
        <v>120</v>
      </c>
      <c r="F14" s="439"/>
    </row>
    <row r="15" spans="1:6" s="440" customFormat="1" ht="23.25" customHeight="1">
      <c r="A15" s="438">
        <v>9</v>
      </c>
      <c r="B15" s="439" t="s">
        <v>75</v>
      </c>
      <c r="C15" s="439" t="s">
        <v>47</v>
      </c>
      <c r="D15" s="439" t="s">
        <v>48</v>
      </c>
      <c r="E15" s="439" t="s">
        <v>123</v>
      </c>
      <c r="F15" s="439"/>
    </row>
    <row r="16" spans="1:6" s="440" customFormat="1" ht="23.25" customHeight="1">
      <c r="A16" s="438">
        <v>10</v>
      </c>
      <c r="B16" s="439" t="s">
        <v>76</v>
      </c>
      <c r="C16" s="439" t="s">
        <v>82</v>
      </c>
      <c r="D16" s="439" t="s">
        <v>83</v>
      </c>
      <c r="E16" s="439" t="s">
        <v>84</v>
      </c>
      <c r="F16" s="439"/>
    </row>
    <row r="17" spans="1:6" s="440" customFormat="1" ht="23.25" customHeight="1">
      <c r="A17" s="438">
        <v>11</v>
      </c>
      <c r="B17" s="439" t="s">
        <v>77</v>
      </c>
      <c r="C17" s="439" t="s">
        <v>85</v>
      </c>
      <c r="D17" s="439" t="s">
        <v>86</v>
      </c>
      <c r="E17" s="439" t="s">
        <v>84</v>
      </c>
      <c r="F17" s="439"/>
    </row>
    <row r="18" spans="1:6" s="440" customFormat="1" ht="23.25" customHeight="1">
      <c r="A18" s="438">
        <v>12</v>
      </c>
      <c r="B18" s="439" t="s">
        <v>78</v>
      </c>
      <c r="C18" s="439" t="s">
        <v>90</v>
      </c>
      <c r="D18" s="439" t="s">
        <v>91</v>
      </c>
      <c r="E18" s="439" t="s">
        <v>128</v>
      </c>
      <c r="F18" s="439"/>
    </row>
    <row r="19" spans="1:6" s="440" customFormat="1" ht="23.25" customHeight="1">
      <c r="A19" s="438">
        <v>13</v>
      </c>
      <c r="B19" s="439" t="s">
        <v>79</v>
      </c>
      <c r="C19" s="439" t="s">
        <v>92</v>
      </c>
      <c r="D19" s="439" t="s">
        <v>95</v>
      </c>
      <c r="E19" s="439" t="s">
        <v>96</v>
      </c>
      <c r="F19" s="439"/>
    </row>
    <row r="20" spans="1:6" s="440" customFormat="1" ht="23.25" customHeight="1">
      <c r="A20" s="438">
        <v>14</v>
      </c>
      <c r="B20" s="439" t="s">
        <v>81</v>
      </c>
      <c r="C20" s="439" t="s">
        <v>94</v>
      </c>
      <c r="D20" s="439" t="s">
        <v>98</v>
      </c>
      <c r="E20" s="439" t="s">
        <v>129</v>
      </c>
      <c r="F20" s="439"/>
    </row>
    <row r="21" spans="1:6" s="440" customFormat="1" ht="23.25" customHeight="1">
      <c r="A21" s="438">
        <v>15</v>
      </c>
      <c r="B21" s="439" t="s">
        <v>131</v>
      </c>
      <c r="C21" s="439" t="s">
        <v>251</v>
      </c>
      <c r="D21" s="439" t="s">
        <v>254</v>
      </c>
      <c r="E21" s="439" t="s">
        <v>257</v>
      </c>
      <c r="F21" s="445" t="s">
        <v>801</v>
      </c>
    </row>
    <row r="22" spans="1:6" s="440" customFormat="1" ht="23.25" customHeight="1">
      <c r="A22" s="438">
        <v>16</v>
      </c>
      <c r="B22" s="439" t="s">
        <v>133</v>
      </c>
      <c r="C22" s="439" t="s">
        <v>253</v>
      </c>
      <c r="D22" s="439" t="s">
        <v>256</v>
      </c>
      <c r="E22" s="439" t="s">
        <v>258</v>
      </c>
      <c r="F22" s="439"/>
    </row>
    <row r="23" spans="1:6" s="440" customFormat="1" ht="23.25" customHeight="1">
      <c r="A23" s="438">
        <v>17</v>
      </c>
      <c r="B23" s="439" t="s">
        <v>134</v>
      </c>
      <c r="C23" s="439" t="s">
        <v>263</v>
      </c>
      <c r="D23" s="439" t="s">
        <v>264</v>
      </c>
      <c r="E23" s="439" t="s">
        <v>265</v>
      </c>
      <c r="F23" s="439"/>
    </row>
    <row r="24" spans="1:6" s="440" customFormat="1" ht="23.25" customHeight="1">
      <c r="A24" s="438">
        <v>18</v>
      </c>
      <c r="B24" s="439" t="s">
        <v>135</v>
      </c>
      <c r="C24" s="439" t="s">
        <v>266</v>
      </c>
      <c r="D24" s="439" t="s">
        <v>267</v>
      </c>
      <c r="E24" s="439" t="s">
        <v>265</v>
      </c>
      <c r="F24" s="439"/>
    </row>
    <row r="25" spans="1:6" s="440" customFormat="1" ht="23.25" customHeight="1">
      <c r="A25" s="438">
        <v>19</v>
      </c>
      <c r="B25" s="439" t="s">
        <v>136</v>
      </c>
      <c r="C25" s="439" t="s">
        <v>268</v>
      </c>
      <c r="D25" s="439" t="s">
        <v>269</v>
      </c>
      <c r="E25" s="439" t="s">
        <v>265</v>
      </c>
      <c r="F25" s="439"/>
    </row>
    <row r="26" spans="1:6" s="440" customFormat="1" ht="23.25" customHeight="1">
      <c r="A26" s="438">
        <v>20</v>
      </c>
      <c r="B26" s="439" t="s">
        <v>137</v>
      </c>
      <c r="C26" s="439" t="s">
        <v>270</v>
      </c>
      <c r="D26" s="439" t="s">
        <v>271</v>
      </c>
      <c r="E26" s="439" t="s">
        <v>265</v>
      </c>
      <c r="F26" s="439"/>
    </row>
    <row r="27" spans="1:6" s="440" customFormat="1" ht="23.25" customHeight="1">
      <c r="A27" s="438">
        <v>21</v>
      </c>
      <c r="B27" s="439" t="s">
        <v>138</v>
      </c>
      <c r="C27" s="441" t="s">
        <v>800</v>
      </c>
      <c r="D27" s="439" t="s">
        <v>272</v>
      </c>
      <c r="E27" s="439" t="s">
        <v>265</v>
      </c>
      <c r="F27" s="439"/>
    </row>
    <row r="28" spans="1:6" s="440" customFormat="1" ht="23.25" customHeight="1">
      <c r="A28" s="438">
        <v>22</v>
      </c>
      <c r="B28" s="439" t="s">
        <v>139</v>
      </c>
      <c r="C28" s="439" t="s">
        <v>275</v>
      </c>
      <c r="D28" s="439" t="s">
        <v>313</v>
      </c>
      <c r="E28" s="439" t="s">
        <v>96</v>
      </c>
      <c r="F28" s="439"/>
    </row>
    <row r="29" spans="1:6" s="440" customFormat="1" ht="23.25" customHeight="1">
      <c r="A29" s="438">
        <v>23</v>
      </c>
      <c r="B29" s="439" t="s">
        <v>140</v>
      </c>
      <c r="C29" s="439" t="s">
        <v>278</v>
      </c>
      <c r="D29" s="439" t="s">
        <v>279</v>
      </c>
      <c r="E29" s="439" t="s">
        <v>280</v>
      </c>
      <c r="F29" s="439"/>
    </row>
    <row r="30" spans="1:6" s="440" customFormat="1" ht="23.25" customHeight="1">
      <c r="A30" s="438">
        <v>24</v>
      </c>
      <c r="B30" s="439" t="s">
        <v>141</v>
      </c>
      <c r="C30" s="439" t="s">
        <v>287</v>
      </c>
      <c r="D30" s="439" t="s">
        <v>288</v>
      </c>
      <c r="E30" s="439" t="s">
        <v>289</v>
      </c>
      <c r="F30" s="439"/>
    </row>
    <row r="31" spans="1:6" s="440" customFormat="1" ht="23.25" customHeight="1">
      <c r="A31" s="438">
        <v>25</v>
      </c>
      <c r="B31" s="439" t="s">
        <v>142</v>
      </c>
      <c r="C31" s="439" t="s">
        <v>283</v>
      </c>
      <c r="D31" s="439" t="s">
        <v>284</v>
      </c>
      <c r="E31" s="439" t="s">
        <v>285</v>
      </c>
      <c r="F31" s="445" t="s">
        <v>801</v>
      </c>
    </row>
    <row r="32" spans="1:6" s="440" customFormat="1" ht="23.25" customHeight="1">
      <c r="A32" s="438">
        <v>26</v>
      </c>
      <c r="B32" s="439" t="s">
        <v>144</v>
      </c>
      <c r="C32" s="439" t="s">
        <v>294</v>
      </c>
      <c r="D32" s="439" t="s">
        <v>314</v>
      </c>
      <c r="E32" s="439" t="s">
        <v>265</v>
      </c>
      <c r="F32" s="439"/>
    </row>
    <row r="33" spans="1:6" s="440" customFormat="1" ht="23.25" customHeight="1">
      <c r="A33" s="438">
        <v>27</v>
      </c>
      <c r="B33" s="439" t="s">
        <v>146</v>
      </c>
      <c r="C33" s="439" t="s">
        <v>330</v>
      </c>
      <c r="D33" s="439" t="s">
        <v>331</v>
      </c>
      <c r="E33" s="439" t="s">
        <v>332</v>
      </c>
      <c r="F33" s="439"/>
    </row>
    <row r="34" spans="1:6" s="440" customFormat="1" ht="23.25" customHeight="1">
      <c r="A34" s="438">
        <v>28</v>
      </c>
      <c r="B34" s="439" t="s">
        <v>147</v>
      </c>
      <c r="C34" s="439" t="s">
        <v>353</v>
      </c>
      <c r="D34" s="439" t="s">
        <v>349</v>
      </c>
      <c r="E34" s="439" t="s">
        <v>350</v>
      </c>
      <c r="F34" s="439"/>
    </row>
    <row r="35" spans="1:6" s="440" customFormat="1" ht="23.25" customHeight="1">
      <c r="A35" s="438">
        <v>29</v>
      </c>
      <c r="B35" s="439" t="s">
        <v>148</v>
      </c>
      <c r="C35" s="439" t="s">
        <v>354</v>
      </c>
      <c r="D35" s="439" t="s">
        <v>396</v>
      </c>
      <c r="E35" s="439" t="s">
        <v>355</v>
      </c>
      <c r="F35" s="439"/>
    </row>
    <row r="36" spans="1:6" s="440" customFormat="1" ht="23.25" customHeight="1">
      <c r="A36" s="438">
        <v>30</v>
      </c>
      <c r="B36" s="439" t="s">
        <v>150</v>
      </c>
      <c r="C36" s="439" t="s">
        <v>376</v>
      </c>
      <c r="D36" s="439" t="s">
        <v>377</v>
      </c>
      <c r="E36" s="439" t="s">
        <v>370</v>
      </c>
      <c r="F36" s="439"/>
    </row>
    <row r="37" spans="1:6" s="440" customFormat="1" ht="23.25" customHeight="1">
      <c r="A37" s="438">
        <v>31</v>
      </c>
      <c r="B37" s="439" t="s">
        <v>151</v>
      </c>
      <c r="C37" s="439" t="s">
        <v>401</v>
      </c>
      <c r="D37" s="439" t="s">
        <v>473</v>
      </c>
      <c r="E37" s="439" t="s">
        <v>764</v>
      </c>
      <c r="F37" s="445" t="s">
        <v>801</v>
      </c>
    </row>
    <row r="38" spans="1:6" s="440" customFormat="1" ht="23.25" customHeight="1">
      <c r="A38" s="438">
        <v>32</v>
      </c>
      <c r="B38" s="439" t="s">
        <v>152</v>
      </c>
      <c r="C38" s="439" t="s">
        <v>409</v>
      </c>
      <c r="D38" s="439" t="s">
        <v>445</v>
      </c>
      <c r="E38" s="439" t="s">
        <v>414</v>
      </c>
      <c r="F38" s="439"/>
    </row>
    <row r="39" spans="1:6" s="440" customFormat="1" ht="23.25" customHeight="1">
      <c r="A39" s="438">
        <v>33</v>
      </c>
      <c r="B39" s="439" t="s">
        <v>155</v>
      </c>
      <c r="C39" s="439" t="s">
        <v>460</v>
      </c>
      <c r="D39" s="439" t="s">
        <v>474</v>
      </c>
      <c r="E39" s="439" t="s">
        <v>461</v>
      </c>
      <c r="F39" s="439"/>
    </row>
    <row r="40" spans="1:6" s="440" customFormat="1" ht="23.25" customHeight="1">
      <c r="A40" s="438">
        <v>34</v>
      </c>
      <c r="B40" s="439" t="s">
        <v>159</v>
      </c>
      <c r="C40" s="439" t="s">
        <v>511</v>
      </c>
      <c r="D40" s="439" t="s">
        <v>513</v>
      </c>
      <c r="E40" s="439" t="s">
        <v>370</v>
      </c>
      <c r="F40" s="439"/>
    </row>
    <row r="41" spans="1:6" s="440" customFormat="1" ht="23.25" customHeight="1">
      <c r="A41" s="438">
        <v>35</v>
      </c>
      <c r="B41" s="439" t="s">
        <v>160</v>
      </c>
      <c r="C41" s="439" t="s">
        <v>519</v>
      </c>
      <c r="D41" s="439"/>
      <c r="E41" s="439" t="s">
        <v>520</v>
      </c>
      <c r="F41" s="439"/>
    </row>
    <row r="42" spans="1:6" s="440" customFormat="1" ht="23.25" customHeight="1">
      <c r="A42" s="438">
        <v>36</v>
      </c>
      <c r="B42" s="439" t="s">
        <v>161</v>
      </c>
      <c r="C42" s="439" t="s">
        <v>535</v>
      </c>
      <c r="D42" s="439" t="s">
        <v>537</v>
      </c>
      <c r="E42" s="439" t="s">
        <v>536</v>
      </c>
      <c r="F42" s="439"/>
    </row>
    <row r="43" spans="1:6" s="440" customFormat="1" ht="23.25" customHeight="1">
      <c r="A43" s="438">
        <v>37</v>
      </c>
      <c r="B43" s="439" t="s">
        <v>164</v>
      </c>
      <c r="C43" s="439" t="s">
        <v>560</v>
      </c>
      <c r="D43" s="439" t="s">
        <v>563</v>
      </c>
      <c r="E43" s="439" t="s">
        <v>561</v>
      </c>
      <c r="F43" s="439"/>
    </row>
    <row r="44" spans="1:6" s="440" customFormat="1" ht="23.25" customHeight="1">
      <c r="A44" s="438">
        <v>38</v>
      </c>
      <c r="B44" s="439" t="s">
        <v>165</v>
      </c>
      <c r="C44" s="439" t="s">
        <v>569</v>
      </c>
      <c r="D44" s="439" t="s">
        <v>572</v>
      </c>
      <c r="E44" s="439" t="s">
        <v>570</v>
      </c>
      <c r="F44" s="439"/>
    </row>
    <row r="45" spans="1:6" s="440" customFormat="1" ht="23.25" customHeight="1">
      <c r="A45" s="438">
        <v>39</v>
      </c>
      <c r="B45" s="439" t="s">
        <v>167</v>
      </c>
      <c r="C45" s="439" t="s">
        <v>601</v>
      </c>
      <c r="D45" s="439" t="s">
        <v>576</v>
      </c>
      <c r="E45" s="439" t="s">
        <v>602</v>
      </c>
      <c r="F45" s="439"/>
    </row>
    <row r="46" spans="1:6" s="440" customFormat="1" ht="23.25" customHeight="1">
      <c r="A46" s="438">
        <v>40</v>
      </c>
      <c r="B46" s="439" t="s">
        <v>168</v>
      </c>
      <c r="C46" s="439" t="s">
        <v>608</v>
      </c>
      <c r="D46" s="439" t="s">
        <v>611</v>
      </c>
      <c r="E46" s="439" t="s">
        <v>609</v>
      </c>
      <c r="F46" s="439"/>
    </row>
    <row r="47" spans="1:6" s="440" customFormat="1" ht="23.25" customHeight="1">
      <c r="A47" s="438">
        <v>41</v>
      </c>
      <c r="B47" s="439" t="s">
        <v>170</v>
      </c>
      <c r="C47" s="439" t="s">
        <v>615</v>
      </c>
      <c r="D47" s="439" t="s">
        <v>618</v>
      </c>
      <c r="E47" s="439" t="s">
        <v>616</v>
      </c>
      <c r="F47" s="439"/>
    </row>
    <row r="48" spans="1:6" s="440" customFormat="1" ht="23.25" customHeight="1">
      <c r="A48" s="438">
        <v>42</v>
      </c>
      <c r="B48" s="439" t="s">
        <v>171</v>
      </c>
      <c r="C48" s="439" t="s">
        <v>619</v>
      </c>
      <c r="D48" s="439"/>
      <c r="E48" s="441" t="s">
        <v>797</v>
      </c>
      <c r="F48" s="439"/>
    </row>
    <row r="49" spans="1:6" s="440" customFormat="1" ht="23.25" customHeight="1">
      <c r="A49" s="438">
        <v>43</v>
      </c>
      <c r="B49" s="439" t="s">
        <v>172</v>
      </c>
      <c r="C49" s="439" t="s">
        <v>621</v>
      </c>
      <c r="D49" s="439"/>
      <c r="E49" s="439"/>
      <c r="F49" s="439"/>
    </row>
    <row r="50" spans="1:6" s="440" customFormat="1" ht="23.25" customHeight="1">
      <c r="A50" s="438">
        <v>44</v>
      </c>
      <c r="B50" s="439" t="s">
        <v>175</v>
      </c>
      <c r="C50" s="439" t="s">
        <v>625</v>
      </c>
      <c r="D50" s="439"/>
      <c r="E50" s="439" t="s">
        <v>626</v>
      </c>
      <c r="F50" s="439"/>
    </row>
    <row r="51" spans="1:6" s="440" customFormat="1" ht="23.25" customHeight="1">
      <c r="A51" s="438">
        <v>45</v>
      </c>
      <c r="B51" s="439" t="s">
        <v>177</v>
      </c>
      <c r="C51" s="439" t="s">
        <v>639</v>
      </c>
      <c r="D51" s="442" t="s">
        <v>793</v>
      </c>
      <c r="E51" s="439" t="s">
        <v>640</v>
      </c>
      <c r="F51" s="439"/>
    </row>
    <row r="52" spans="1:6" s="440" customFormat="1" ht="23.25" customHeight="1">
      <c r="A52" s="438">
        <v>46</v>
      </c>
      <c r="B52" s="439" t="s">
        <v>178</v>
      </c>
      <c r="C52" s="439" t="s">
        <v>643</v>
      </c>
      <c r="D52" s="443"/>
      <c r="E52" s="439" t="s">
        <v>644</v>
      </c>
      <c r="F52" s="439"/>
    </row>
    <row r="53" spans="1:6" s="440" customFormat="1" ht="23.25" customHeight="1">
      <c r="A53" s="438">
        <v>47</v>
      </c>
      <c r="B53" s="439" t="s">
        <v>182</v>
      </c>
      <c r="C53" s="439" t="s">
        <v>664</v>
      </c>
      <c r="D53" s="439"/>
      <c r="E53" s="441" t="s">
        <v>795</v>
      </c>
      <c r="F53" s="439"/>
    </row>
    <row r="54" spans="1:6" s="440" customFormat="1" ht="23.25" customHeight="1">
      <c r="A54" s="438">
        <v>48</v>
      </c>
      <c r="B54" s="439" t="s">
        <v>183</v>
      </c>
      <c r="C54" s="439" t="s">
        <v>666</v>
      </c>
      <c r="D54" s="439"/>
      <c r="E54" s="441" t="s">
        <v>795</v>
      </c>
      <c r="F54" s="439"/>
    </row>
    <row r="55" spans="1:6" s="440" customFormat="1" ht="23.25" customHeight="1">
      <c r="A55" s="438">
        <v>49</v>
      </c>
      <c r="B55" s="439" t="s">
        <v>184</v>
      </c>
      <c r="C55" s="439" t="s">
        <v>667</v>
      </c>
      <c r="D55" s="439"/>
      <c r="E55" s="441" t="s">
        <v>794</v>
      </c>
      <c r="F55" s="439"/>
    </row>
    <row r="56" spans="1:6" s="440" customFormat="1" ht="23.25" customHeight="1">
      <c r="A56" s="438">
        <v>50</v>
      </c>
      <c r="B56" s="439" t="s">
        <v>186</v>
      </c>
      <c r="C56" s="441" t="s">
        <v>798</v>
      </c>
      <c r="D56" s="444" t="s">
        <v>799</v>
      </c>
      <c r="E56" s="441" t="s">
        <v>794</v>
      </c>
      <c r="F56" s="439"/>
    </row>
    <row r="57" spans="1:6" s="440" customFormat="1" ht="23.25" customHeight="1">
      <c r="A57" s="438">
        <v>51</v>
      </c>
      <c r="B57" s="439" t="s">
        <v>188</v>
      </c>
      <c r="C57" s="439" t="s">
        <v>740</v>
      </c>
      <c r="D57" s="439"/>
      <c r="E57" s="439" t="s">
        <v>741</v>
      </c>
      <c r="F57" s="439"/>
    </row>
    <row r="58" spans="1:6" s="440" customFormat="1" ht="23.25" customHeight="1">
      <c r="A58" s="438">
        <v>52</v>
      </c>
      <c r="B58" s="439" t="s">
        <v>189</v>
      </c>
      <c r="C58" s="439" t="s">
        <v>742</v>
      </c>
      <c r="D58" s="444" t="s">
        <v>796</v>
      </c>
      <c r="E58" s="439" t="s">
        <v>743</v>
      </c>
      <c r="F58" s="439"/>
    </row>
    <row r="59" spans="1:6" s="440" customFormat="1" ht="23.25" customHeight="1">
      <c r="A59" s="438">
        <v>53</v>
      </c>
      <c r="B59" s="439" t="s">
        <v>190</v>
      </c>
      <c r="C59" s="439" t="s">
        <v>750</v>
      </c>
      <c r="D59" s="439" t="s">
        <v>752</v>
      </c>
      <c r="E59" s="439" t="s">
        <v>751</v>
      </c>
      <c r="F59" s="439"/>
    </row>
    <row r="60" spans="1:6" s="440" customFormat="1" ht="23.25" customHeight="1">
      <c r="A60" s="438">
        <v>54</v>
      </c>
      <c r="B60" s="439" t="s">
        <v>191</v>
      </c>
      <c r="C60" s="439" t="s">
        <v>769</v>
      </c>
      <c r="D60" s="439">
        <v>0</v>
      </c>
      <c r="E60" s="439" t="s">
        <v>626</v>
      </c>
      <c r="F60" s="439"/>
    </row>
  </sheetData>
  <sortState ref="A8:R88">
    <sortCondition ref="B8:B88"/>
  </sortState>
  <mergeCells count="9">
    <mergeCell ref="A1:F1"/>
    <mergeCell ref="A2:F2"/>
    <mergeCell ref="A3:F3"/>
    <mergeCell ref="A5:A6"/>
    <mergeCell ref="B5:B6"/>
    <mergeCell ref="C5:C6"/>
    <mergeCell ref="D5:D6"/>
    <mergeCell ref="E5:E6"/>
    <mergeCell ref="F5:F6"/>
  </mergeCells>
  <pageMargins left="0.19685039370078741" right="0.19685039370078741" top="0.74803149606299213" bottom="2.1259842519685042" header="0.31496062992125984" footer="0.31496062992125984"/>
  <pageSetup paperSize="5" scale="85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R9" sqref="R9"/>
    </sheetView>
  </sheetViews>
  <sheetFormatPr defaultRowHeight="12.75"/>
  <cols>
    <col min="2" max="2" width="18.42578125" customWidth="1"/>
  </cols>
  <sheetData>
    <row r="2" spans="2:4">
      <c r="B2" s="105" t="s">
        <v>734</v>
      </c>
      <c r="C2" s="163">
        <v>14</v>
      </c>
      <c r="D2" s="368">
        <f>C2/$C$5*100</f>
        <v>17.721518987341771</v>
      </c>
    </row>
    <row r="3" spans="2:4">
      <c r="B3" s="105" t="s">
        <v>735</v>
      </c>
      <c r="C3" s="163">
        <v>48</v>
      </c>
      <c r="D3" s="368">
        <f t="shared" ref="D3:D5" si="0">C3/$C$5*100</f>
        <v>60.75949367088608</v>
      </c>
    </row>
    <row r="4" spans="2:4">
      <c r="B4" s="105" t="s">
        <v>736</v>
      </c>
      <c r="C4" s="163">
        <v>17</v>
      </c>
      <c r="D4" s="368">
        <f t="shared" si="0"/>
        <v>21.518987341772153</v>
      </c>
    </row>
    <row r="5" spans="2:4">
      <c r="B5" s="105" t="s">
        <v>737</v>
      </c>
      <c r="C5" s="163">
        <f>SUM(C2:C4)</f>
        <v>79</v>
      </c>
      <c r="D5" s="368">
        <f t="shared" si="0"/>
        <v>100</v>
      </c>
    </row>
  </sheetData>
  <pageMargins left="0.7" right="0.7" top="0.75" bottom="0.75" header="0.3" footer="0.3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D122"/>
  <sheetViews>
    <sheetView workbookViewId="0">
      <selection activeCell="A102" sqref="A102:XFD102"/>
    </sheetView>
  </sheetViews>
  <sheetFormatPr defaultRowHeight="15"/>
  <cols>
    <col min="2" max="2" width="16.85546875" style="581" customWidth="1"/>
    <col min="3" max="3" width="36.140625" style="581" customWidth="1"/>
    <col min="4" max="4" width="24.42578125" customWidth="1"/>
  </cols>
  <sheetData>
    <row r="1" spans="1:4" ht="12.75" customHeight="1">
      <c r="A1" s="735" t="s">
        <v>1069</v>
      </c>
      <c r="B1" s="735" t="s">
        <v>1068</v>
      </c>
      <c r="C1" s="735" t="s">
        <v>2</v>
      </c>
      <c r="D1" s="735" t="s">
        <v>1109</v>
      </c>
    </row>
    <row r="2" spans="1:4" ht="12.75" customHeight="1">
      <c r="A2" s="736"/>
      <c r="B2" s="736"/>
      <c r="C2" s="736"/>
      <c r="D2" s="736"/>
    </row>
    <row r="3" spans="1:4" ht="13.5" customHeight="1" thickBot="1">
      <c r="A3" s="737"/>
      <c r="B3" s="737"/>
      <c r="C3" s="737"/>
      <c r="D3" s="737"/>
    </row>
    <row r="4" spans="1:4" s="440" customFormat="1" ht="27" hidden="1" customHeight="1" thickBot="1">
      <c r="A4" s="582">
        <v>1</v>
      </c>
      <c r="B4" s="582">
        <v>2018020001</v>
      </c>
      <c r="C4" s="583" t="s">
        <v>15</v>
      </c>
      <c r="D4" s="583"/>
    </row>
    <row r="5" spans="1:4" s="440" customFormat="1" ht="28.5" hidden="1" customHeight="1" thickBot="1">
      <c r="A5" s="582">
        <v>2</v>
      </c>
      <c r="B5" s="582">
        <v>2018020002</v>
      </c>
      <c r="C5" s="583" t="s">
        <v>35</v>
      </c>
      <c r="D5" s="583"/>
    </row>
    <row r="6" spans="1:4" s="440" customFormat="1" ht="28.5" hidden="1" customHeight="1" thickBot="1">
      <c r="A6" s="582">
        <v>3</v>
      </c>
      <c r="B6" s="582">
        <v>2018020003</v>
      </c>
      <c r="C6" s="583" t="s">
        <v>1070</v>
      </c>
      <c r="D6" s="583"/>
    </row>
    <row r="7" spans="1:4" s="440" customFormat="1" ht="28.5" hidden="1" customHeight="1" thickBot="1">
      <c r="A7" s="582">
        <v>4</v>
      </c>
      <c r="B7" s="582">
        <v>2018020004</v>
      </c>
      <c r="C7" s="583" t="s">
        <v>13</v>
      </c>
      <c r="D7" s="583"/>
    </row>
    <row r="8" spans="1:4" s="440" customFormat="1" ht="28.5" hidden="1" customHeight="1" thickBot="1">
      <c r="A8" s="582">
        <v>5</v>
      </c>
      <c r="B8" s="582">
        <v>2018020005</v>
      </c>
      <c r="C8" s="583" t="s">
        <v>22</v>
      </c>
      <c r="D8" s="583"/>
    </row>
    <row r="9" spans="1:4" s="440" customFormat="1" ht="28.5" hidden="1" customHeight="1" thickBot="1">
      <c r="A9" s="582">
        <v>6</v>
      </c>
      <c r="B9" s="582">
        <v>2018020006</v>
      </c>
      <c r="C9" s="583" t="s">
        <v>535</v>
      </c>
      <c r="D9" s="583"/>
    </row>
    <row r="10" spans="1:4" s="440" customFormat="1" ht="28.5" hidden="1" customHeight="1" thickBot="1">
      <c r="A10" s="582">
        <v>7</v>
      </c>
      <c r="B10" s="582">
        <v>2018020007</v>
      </c>
      <c r="C10" s="583" t="s">
        <v>28</v>
      </c>
      <c r="D10" s="583"/>
    </row>
    <row r="11" spans="1:4" s="440" customFormat="1" ht="28.5" hidden="1" customHeight="1" thickBot="1">
      <c r="A11" s="582">
        <v>8</v>
      </c>
      <c r="B11" s="582">
        <v>2018020008</v>
      </c>
      <c r="C11" s="583" t="s">
        <v>32</v>
      </c>
      <c r="D11" s="583"/>
    </row>
    <row r="12" spans="1:4" s="440" customFormat="1" ht="28.5" hidden="1" customHeight="1" thickBot="1">
      <c r="A12" s="582">
        <v>9</v>
      </c>
      <c r="B12" s="582">
        <v>2018020009</v>
      </c>
      <c r="C12" s="583" t="s">
        <v>826</v>
      </c>
      <c r="D12" s="583"/>
    </row>
    <row r="13" spans="1:4" s="440" customFormat="1" ht="28.5" hidden="1" customHeight="1" thickBot="1">
      <c r="A13" s="582">
        <v>10</v>
      </c>
      <c r="B13" s="582">
        <v>2018020010</v>
      </c>
      <c r="C13" s="583" t="s">
        <v>82</v>
      </c>
      <c r="D13" s="583"/>
    </row>
    <row r="14" spans="1:4" s="440" customFormat="1" ht="28.5" hidden="1" customHeight="1" thickBot="1">
      <c r="A14" s="582">
        <v>11</v>
      </c>
      <c r="B14" s="582">
        <v>2018020011</v>
      </c>
      <c r="C14" s="583" t="s">
        <v>90</v>
      </c>
      <c r="D14" s="583"/>
    </row>
    <row r="15" spans="1:4" s="440" customFormat="1" ht="28.5" hidden="1" customHeight="1" thickBot="1">
      <c r="A15" s="582">
        <v>12</v>
      </c>
      <c r="B15" s="582">
        <v>2018020012</v>
      </c>
      <c r="C15" s="583" t="s">
        <v>94</v>
      </c>
      <c r="D15" s="583"/>
    </row>
    <row r="16" spans="1:4" s="440" customFormat="1" ht="28.5" hidden="1" customHeight="1" thickBot="1">
      <c r="A16" s="582">
        <v>13</v>
      </c>
      <c r="B16" s="582">
        <v>2018020013</v>
      </c>
      <c r="C16" s="583" t="s">
        <v>253</v>
      </c>
      <c r="D16" s="583"/>
    </row>
    <row r="17" spans="1:4" s="440" customFormat="1" ht="28.5" hidden="1" customHeight="1" thickBot="1">
      <c r="A17" s="582">
        <v>14</v>
      </c>
      <c r="B17" s="582">
        <v>2018020014</v>
      </c>
      <c r="C17" s="583" t="s">
        <v>268</v>
      </c>
      <c r="D17" s="583"/>
    </row>
    <row r="18" spans="1:4" s="440" customFormat="1" ht="28.5" hidden="1" customHeight="1" thickBot="1">
      <c r="A18" s="582">
        <v>15</v>
      </c>
      <c r="B18" s="582">
        <v>2018020015</v>
      </c>
      <c r="C18" s="583" t="s">
        <v>275</v>
      </c>
      <c r="D18" s="583"/>
    </row>
    <row r="19" spans="1:4" s="440" customFormat="1" ht="28.5" hidden="1" customHeight="1" thickBot="1">
      <c r="A19" s="582">
        <v>16</v>
      </c>
      <c r="B19" s="582">
        <v>2018020016</v>
      </c>
      <c r="C19" s="583" t="s">
        <v>278</v>
      </c>
      <c r="D19" s="583"/>
    </row>
    <row r="20" spans="1:4" s="440" customFormat="1" ht="28.5" hidden="1" customHeight="1" thickBot="1">
      <c r="A20" s="582">
        <v>17</v>
      </c>
      <c r="B20" s="582">
        <v>2018020017</v>
      </c>
      <c r="C20" s="583" t="s">
        <v>287</v>
      </c>
      <c r="D20" s="583"/>
    </row>
    <row r="21" spans="1:4" s="440" customFormat="1" ht="28.5" hidden="1" customHeight="1" thickBot="1">
      <c r="A21" s="582">
        <v>18</v>
      </c>
      <c r="B21" s="582">
        <v>2018020018</v>
      </c>
      <c r="C21" s="583" t="s">
        <v>330</v>
      </c>
      <c r="D21" s="583"/>
    </row>
    <row r="22" spans="1:4" s="440" customFormat="1" ht="28.5" hidden="1" customHeight="1" thickBot="1">
      <c r="A22" s="582">
        <v>19</v>
      </c>
      <c r="B22" s="582">
        <v>2018020019</v>
      </c>
      <c r="C22" s="583" t="s">
        <v>353</v>
      </c>
      <c r="D22" s="583"/>
    </row>
    <row r="23" spans="1:4" s="440" customFormat="1" ht="28.5" hidden="1" customHeight="1" thickBot="1">
      <c r="A23" s="582">
        <v>20</v>
      </c>
      <c r="B23" s="582">
        <v>2018020020</v>
      </c>
      <c r="C23" s="583" t="s">
        <v>354</v>
      </c>
      <c r="D23" s="583"/>
    </row>
    <row r="24" spans="1:4" s="440" customFormat="1" ht="28.5" hidden="1" customHeight="1" thickBot="1">
      <c r="A24" s="582">
        <v>21</v>
      </c>
      <c r="B24" s="582">
        <v>2018020021</v>
      </c>
      <c r="C24" s="583" t="s">
        <v>376</v>
      </c>
      <c r="D24" s="583"/>
    </row>
    <row r="25" spans="1:4" s="440" customFormat="1" ht="28.5" hidden="1" customHeight="1" thickBot="1">
      <c r="A25" s="582">
        <v>22</v>
      </c>
      <c r="B25" s="582">
        <v>2018020022</v>
      </c>
      <c r="C25" s="583" t="s">
        <v>409</v>
      </c>
      <c r="D25" s="583"/>
    </row>
    <row r="26" spans="1:4" s="440" customFormat="1" ht="28.5" hidden="1" customHeight="1" thickBot="1">
      <c r="A26" s="582">
        <v>23</v>
      </c>
      <c r="B26" s="582">
        <v>2018020023</v>
      </c>
      <c r="C26" s="583" t="s">
        <v>890</v>
      </c>
      <c r="D26" s="583"/>
    </row>
    <row r="27" spans="1:4" s="440" customFormat="1" ht="28.5" hidden="1" customHeight="1" thickBot="1">
      <c r="A27" s="582">
        <v>24</v>
      </c>
      <c r="B27" s="582">
        <v>2018020024</v>
      </c>
      <c r="C27" s="583" t="s">
        <v>460</v>
      </c>
      <c r="D27" s="583"/>
    </row>
    <row r="28" spans="1:4" s="440" customFormat="1" ht="28.5" hidden="1" customHeight="1" thickBot="1">
      <c r="A28" s="582">
        <v>25</v>
      </c>
      <c r="B28" s="582">
        <v>2018020025</v>
      </c>
      <c r="C28" s="583" t="s">
        <v>870</v>
      </c>
      <c r="D28" s="583"/>
    </row>
    <row r="29" spans="1:4" s="440" customFormat="1" ht="28.5" hidden="1" customHeight="1" thickBot="1">
      <c r="A29" s="582">
        <v>26</v>
      </c>
      <c r="B29" s="582">
        <v>2018020026</v>
      </c>
      <c r="C29" s="583" t="s">
        <v>842</v>
      </c>
      <c r="D29" s="583"/>
    </row>
    <row r="30" spans="1:4" s="440" customFormat="1" ht="28.5" hidden="1" customHeight="1" thickBot="1">
      <c r="A30" s="582">
        <v>27</v>
      </c>
      <c r="B30" s="582">
        <v>2018020027</v>
      </c>
      <c r="C30" s="583" t="s">
        <v>880</v>
      </c>
      <c r="D30" s="583"/>
    </row>
    <row r="31" spans="1:4" s="440" customFormat="1" ht="28.5" hidden="1" customHeight="1" thickBot="1">
      <c r="A31" s="582">
        <v>28</v>
      </c>
      <c r="B31" s="582">
        <v>2018020028</v>
      </c>
      <c r="C31" s="583" t="s">
        <v>511</v>
      </c>
      <c r="D31" s="583"/>
    </row>
    <row r="32" spans="1:4" s="440" customFormat="1" ht="28.5" hidden="1" customHeight="1" thickBot="1">
      <c r="A32" s="582">
        <v>29</v>
      </c>
      <c r="B32" s="582">
        <v>2018020029</v>
      </c>
      <c r="C32" s="583" t="s">
        <v>519</v>
      </c>
      <c r="D32" s="583"/>
    </row>
    <row r="33" spans="1:4" s="440" customFormat="1" ht="28.5" hidden="1" customHeight="1" thickBot="1">
      <c r="A33" s="582">
        <v>30</v>
      </c>
      <c r="B33" s="582">
        <v>2018020030</v>
      </c>
      <c r="C33" s="583" t="s">
        <v>541</v>
      </c>
      <c r="D33" s="583"/>
    </row>
    <row r="34" spans="1:4" s="440" customFormat="1" ht="28.5" hidden="1" customHeight="1" thickBot="1">
      <c r="A34" s="582">
        <v>31</v>
      </c>
      <c r="B34" s="582">
        <v>2018020031</v>
      </c>
      <c r="C34" s="583" t="s">
        <v>840</v>
      </c>
      <c r="D34" s="583"/>
    </row>
    <row r="35" spans="1:4" s="440" customFormat="1" ht="28.5" hidden="1" customHeight="1" thickBot="1">
      <c r="A35" s="582">
        <v>32</v>
      </c>
      <c r="B35" s="582">
        <v>2018020032</v>
      </c>
      <c r="C35" s="583" t="s">
        <v>560</v>
      </c>
      <c r="D35" s="583"/>
    </row>
    <row r="36" spans="1:4" s="440" customFormat="1" ht="28.5" hidden="1" customHeight="1" thickBot="1">
      <c r="A36" s="582">
        <v>33</v>
      </c>
      <c r="B36" s="582">
        <v>2018020033</v>
      </c>
      <c r="C36" s="583" t="s">
        <v>569</v>
      </c>
      <c r="D36" s="583"/>
    </row>
    <row r="37" spans="1:4" s="440" customFormat="1" ht="28.5" hidden="1" customHeight="1" thickBot="1">
      <c r="A37" s="582">
        <v>34</v>
      </c>
      <c r="B37" s="582">
        <v>2018020034</v>
      </c>
      <c r="C37" s="583" t="s">
        <v>601</v>
      </c>
      <c r="D37" s="583"/>
    </row>
    <row r="38" spans="1:4" s="440" customFormat="1" ht="28.5" hidden="1" customHeight="1" thickBot="1">
      <c r="A38" s="582">
        <v>35</v>
      </c>
      <c r="B38" s="582">
        <v>2018020035</v>
      </c>
      <c r="C38" s="583" t="s">
        <v>891</v>
      </c>
      <c r="D38" s="583"/>
    </row>
    <row r="39" spans="1:4" s="440" customFormat="1" ht="28.5" hidden="1" customHeight="1" thickBot="1">
      <c r="A39" s="582">
        <v>36</v>
      </c>
      <c r="B39" s="582">
        <v>2018020036</v>
      </c>
      <c r="C39" s="583" t="s">
        <v>615</v>
      </c>
      <c r="D39" s="583"/>
    </row>
    <row r="40" spans="1:4" s="440" customFormat="1" ht="28.5" hidden="1" customHeight="1" thickBot="1">
      <c r="A40" s="582">
        <v>37</v>
      </c>
      <c r="B40" s="582">
        <v>2018020037</v>
      </c>
      <c r="C40" s="583" t="s">
        <v>621</v>
      </c>
      <c r="D40" s="583"/>
    </row>
    <row r="41" spans="1:4" s="440" customFormat="1" ht="28.5" hidden="1" customHeight="1" thickBot="1">
      <c r="A41" s="582">
        <v>38</v>
      </c>
      <c r="B41" s="582">
        <v>2018020038</v>
      </c>
      <c r="C41" s="583" t="s">
        <v>625</v>
      </c>
      <c r="D41" s="583"/>
    </row>
    <row r="42" spans="1:4" s="440" customFormat="1" ht="28.5" hidden="1" customHeight="1" thickBot="1">
      <c r="A42" s="582">
        <v>39</v>
      </c>
      <c r="B42" s="582">
        <v>2018020039</v>
      </c>
      <c r="C42" s="583" t="s">
        <v>639</v>
      </c>
      <c r="D42" s="583"/>
    </row>
    <row r="43" spans="1:4" s="440" customFormat="1" ht="28.5" hidden="1" customHeight="1" thickBot="1">
      <c r="A43" s="582">
        <v>40</v>
      </c>
      <c r="B43" s="582">
        <v>2018020040</v>
      </c>
      <c r="C43" s="583" t="s">
        <v>828</v>
      </c>
      <c r="D43" s="583"/>
    </row>
    <row r="44" spans="1:4" s="440" customFormat="1" ht="28.5" hidden="1" customHeight="1" thickBot="1">
      <c r="A44" s="582">
        <v>41</v>
      </c>
      <c r="B44" s="582">
        <v>2018020041</v>
      </c>
      <c r="C44" s="583" t="s">
        <v>664</v>
      </c>
      <c r="D44" s="583"/>
    </row>
    <row r="45" spans="1:4" s="440" customFormat="1" ht="28.5" hidden="1" customHeight="1" thickBot="1">
      <c r="A45" s="582">
        <v>42</v>
      </c>
      <c r="B45" s="582">
        <v>2018020042</v>
      </c>
      <c r="C45" s="583" t="s">
        <v>666</v>
      </c>
      <c r="D45" s="583"/>
    </row>
    <row r="46" spans="1:4" s="440" customFormat="1" ht="28.5" hidden="1" customHeight="1" thickBot="1">
      <c r="A46" s="582">
        <v>43</v>
      </c>
      <c r="B46" s="582">
        <v>2018020043</v>
      </c>
      <c r="C46" s="583" t="s">
        <v>742</v>
      </c>
      <c r="D46" s="583"/>
    </row>
    <row r="47" spans="1:4" s="440" customFormat="1" ht="28.5" hidden="1" customHeight="1" thickBot="1">
      <c r="A47" s="582">
        <v>44</v>
      </c>
      <c r="B47" s="582">
        <v>2018020044</v>
      </c>
      <c r="C47" s="583" t="s">
        <v>750</v>
      </c>
      <c r="D47" s="583"/>
    </row>
    <row r="48" spans="1:4" s="440" customFormat="1" ht="28.5" hidden="1" customHeight="1" thickBot="1">
      <c r="A48" s="582">
        <v>45</v>
      </c>
      <c r="B48" s="582">
        <v>2018020045</v>
      </c>
      <c r="C48" s="583" t="s">
        <v>769</v>
      </c>
      <c r="D48" s="583"/>
    </row>
    <row r="49" spans="1:4" s="440" customFormat="1" ht="28.5" hidden="1" customHeight="1" thickBot="1">
      <c r="A49" s="582">
        <v>46</v>
      </c>
      <c r="B49" s="582">
        <v>2018020046</v>
      </c>
      <c r="C49" s="583" t="s">
        <v>914</v>
      </c>
      <c r="D49" s="583"/>
    </row>
    <row r="50" spans="1:4" s="440" customFormat="1" ht="28.5" hidden="1" customHeight="1" thickBot="1">
      <c r="A50" s="582">
        <v>47</v>
      </c>
      <c r="B50" s="582">
        <v>2018020047</v>
      </c>
      <c r="C50" s="583" t="s">
        <v>925</v>
      </c>
      <c r="D50" s="583"/>
    </row>
    <row r="51" spans="1:4" s="440" customFormat="1" ht="28.5" hidden="1" customHeight="1" thickBot="1">
      <c r="A51" s="582">
        <v>48</v>
      </c>
      <c r="B51" s="582">
        <v>2018020048</v>
      </c>
      <c r="C51" s="583" t="s">
        <v>929</v>
      </c>
      <c r="D51" s="583"/>
    </row>
    <row r="52" spans="1:4" s="440" customFormat="1" ht="28.5" hidden="1" customHeight="1" thickBot="1">
      <c r="A52" s="582">
        <v>49</v>
      </c>
      <c r="B52" s="582">
        <v>2018020049</v>
      </c>
      <c r="C52" s="583" t="s">
        <v>939</v>
      </c>
      <c r="D52" s="583"/>
    </row>
    <row r="53" spans="1:4" s="440" customFormat="1" ht="28.5" hidden="1" customHeight="1" thickBot="1">
      <c r="A53" s="582">
        <v>50</v>
      </c>
      <c r="B53" s="582">
        <v>2018020050</v>
      </c>
      <c r="C53" s="583" t="s">
        <v>941</v>
      </c>
      <c r="D53" s="583"/>
    </row>
    <row r="54" spans="1:4" s="440" customFormat="1" ht="28.5" hidden="1" customHeight="1" thickBot="1">
      <c r="A54" s="582">
        <v>51</v>
      </c>
      <c r="B54" s="582">
        <v>2018020051</v>
      </c>
      <c r="C54" s="583" t="s">
        <v>956</v>
      </c>
      <c r="D54" s="583"/>
    </row>
    <row r="55" spans="1:4" s="440" customFormat="1" ht="28.5" hidden="1" customHeight="1" thickBot="1">
      <c r="A55" s="582">
        <v>52</v>
      </c>
      <c r="B55" s="582">
        <v>2018020052</v>
      </c>
      <c r="C55" s="583" t="s">
        <v>959</v>
      </c>
      <c r="D55" s="583"/>
    </row>
    <row r="56" spans="1:4" s="440" customFormat="1" ht="28.5" hidden="1" customHeight="1" thickBot="1">
      <c r="A56" s="582">
        <v>53</v>
      </c>
      <c r="B56" s="582">
        <v>2018020053</v>
      </c>
      <c r="C56" s="583" t="s">
        <v>740</v>
      </c>
      <c r="D56" s="583"/>
    </row>
    <row r="57" spans="1:4" s="440" customFormat="1" ht="28.5" hidden="1" customHeight="1" thickBot="1">
      <c r="A57" s="582">
        <v>54</v>
      </c>
      <c r="B57" s="582">
        <v>2018020054</v>
      </c>
      <c r="C57" s="583" t="s">
        <v>966</v>
      </c>
      <c r="D57" s="583"/>
    </row>
    <row r="58" spans="1:4" s="440" customFormat="1" ht="28.5" hidden="1" customHeight="1" thickBot="1">
      <c r="A58" s="582">
        <v>55</v>
      </c>
      <c r="B58" s="582">
        <v>2018020055</v>
      </c>
      <c r="C58" s="583" t="s">
        <v>972</v>
      </c>
      <c r="D58" s="583"/>
    </row>
    <row r="59" spans="1:4" s="440" customFormat="1" ht="28.5" hidden="1" customHeight="1" thickBot="1">
      <c r="A59" s="582">
        <v>56</v>
      </c>
      <c r="B59" s="582">
        <v>2018020056</v>
      </c>
      <c r="C59" s="583" t="s">
        <v>988</v>
      </c>
      <c r="D59" s="583"/>
    </row>
    <row r="60" spans="1:4" s="440" customFormat="1" ht="28.5" hidden="1" customHeight="1" thickBot="1">
      <c r="A60" s="582">
        <v>57</v>
      </c>
      <c r="B60" s="582">
        <v>2018020057</v>
      </c>
      <c r="C60" s="583" t="s">
        <v>573</v>
      </c>
      <c r="D60" s="583"/>
    </row>
    <row r="61" spans="1:4" s="440" customFormat="1" ht="28.5" hidden="1" customHeight="1" thickBot="1">
      <c r="A61" s="582">
        <v>58</v>
      </c>
      <c r="B61" s="582">
        <v>2018020058</v>
      </c>
      <c r="C61" s="583" t="s">
        <v>997</v>
      </c>
      <c r="D61" s="583"/>
    </row>
    <row r="62" spans="1:4" s="440" customFormat="1" ht="28.5" hidden="1" customHeight="1" thickBot="1">
      <c r="A62" s="582">
        <v>59</v>
      </c>
      <c r="B62" s="582">
        <v>2018020059</v>
      </c>
      <c r="C62" s="583" t="s">
        <v>1002</v>
      </c>
      <c r="D62" s="583"/>
    </row>
    <row r="63" spans="1:4" s="440" customFormat="1" ht="28.5" hidden="1" customHeight="1" thickBot="1">
      <c r="A63" s="582">
        <v>60</v>
      </c>
      <c r="B63" s="582">
        <v>2018020060</v>
      </c>
      <c r="C63" s="583" t="s">
        <v>1006</v>
      </c>
      <c r="D63" s="583"/>
    </row>
    <row r="64" spans="1:4" s="440" customFormat="1" ht="28.5" hidden="1" customHeight="1" thickBot="1">
      <c r="A64" s="582">
        <v>61</v>
      </c>
      <c r="B64" s="582">
        <v>2018020061</v>
      </c>
      <c r="C64" s="583" t="s">
        <v>1010</v>
      </c>
      <c r="D64" s="583"/>
    </row>
    <row r="65" spans="1:4" s="440" customFormat="1" ht="28.5" hidden="1" customHeight="1" thickBot="1">
      <c r="A65" s="582">
        <v>62</v>
      </c>
      <c r="B65" s="582">
        <v>2018020062</v>
      </c>
      <c r="C65" s="583" t="s">
        <v>1016</v>
      </c>
      <c r="D65" s="583"/>
    </row>
    <row r="66" spans="1:4" s="440" customFormat="1" ht="28.5" hidden="1" customHeight="1" thickBot="1">
      <c r="A66" s="582">
        <v>63</v>
      </c>
      <c r="B66" s="582">
        <v>2018020063</v>
      </c>
      <c r="C66" s="583" t="s">
        <v>1054</v>
      </c>
      <c r="D66" s="583"/>
    </row>
    <row r="67" spans="1:4" s="440" customFormat="1" ht="28.5" hidden="1" customHeight="1" thickBot="1">
      <c r="A67" s="582">
        <v>64</v>
      </c>
      <c r="B67" s="582">
        <v>2018020064</v>
      </c>
      <c r="C67" s="583" t="s">
        <v>1028</v>
      </c>
      <c r="D67" s="583"/>
    </row>
    <row r="68" spans="1:4" s="440" customFormat="1" ht="28.5" hidden="1" customHeight="1" thickBot="1">
      <c r="A68" s="582">
        <v>65</v>
      </c>
      <c r="B68" s="582">
        <v>2018020065</v>
      </c>
      <c r="C68" s="583" t="s">
        <v>1030</v>
      </c>
      <c r="D68" s="583"/>
    </row>
    <row r="69" spans="1:4" s="440" customFormat="1" ht="28.5" hidden="1" customHeight="1" thickBot="1">
      <c r="A69" s="582">
        <v>66</v>
      </c>
      <c r="B69" s="582">
        <v>2018020066</v>
      </c>
      <c r="C69" s="583" t="s">
        <v>1036</v>
      </c>
      <c r="D69" s="583"/>
    </row>
    <row r="70" spans="1:4" s="440" customFormat="1" ht="28.5" hidden="1" customHeight="1" thickBot="1">
      <c r="A70" s="582">
        <v>67</v>
      </c>
      <c r="B70" s="582">
        <v>2018020067</v>
      </c>
      <c r="C70" s="583" t="s">
        <v>1043</v>
      </c>
      <c r="D70" s="583"/>
    </row>
    <row r="71" spans="1:4" s="440" customFormat="1" ht="28.5" hidden="1" customHeight="1" thickBot="1">
      <c r="A71" s="582">
        <v>68</v>
      </c>
      <c r="B71" s="582">
        <v>2018020068</v>
      </c>
      <c r="C71" s="583" t="s">
        <v>1048</v>
      </c>
      <c r="D71" s="583"/>
    </row>
    <row r="72" spans="1:4" s="440" customFormat="1" ht="28.5" hidden="1" customHeight="1" thickBot="1">
      <c r="A72" s="582">
        <v>69</v>
      </c>
      <c r="B72" s="582">
        <v>2018020069</v>
      </c>
      <c r="C72" s="583" t="s">
        <v>1055</v>
      </c>
      <c r="D72" s="583"/>
    </row>
    <row r="73" spans="1:4" s="440" customFormat="1" ht="28.5" hidden="1" customHeight="1" thickBot="1">
      <c r="A73" s="582">
        <v>70</v>
      </c>
      <c r="B73" s="582">
        <v>2018020070</v>
      </c>
      <c r="C73" s="583" t="s">
        <v>1061</v>
      </c>
      <c r="D73" s="583"/>
    </row>
    <row r="74" spans="1:4" s="440" customFormat="1" ht="28.5" hidden="1" customHeight="1" thickBot="1">
      <c r="A74" s="582">
        <v>71</v>
      </c>
      <c r="B74" s="582">
        <v>2018020071</v>
      </c>
      <c r="C74" s="626" t="s">
        <v>1066</v>
      </c>
      <c r="D74" s="626"/>
    </row>
    <row r="75" spans="1:4" ht="23.25" hidden="1" customHeight="1" thickBot="1">
      <c r="A75" s="582">
        <v>72</v>
      </c>
      <c r="B75" s="582">
        <v>2018020072</v>
      </c>
      <c r="C75" s="627" t="s">
        <v>1073</v>
      </c>
      <c r="D75" s="628"/>
    </row>
    <row r="76" spans="1:4" ht="23.25" hidden="1" customHeight="1" thickBot="1">
      <c r="A76" s="582">
        <v>73</v>
      </c>
      <c r="B76" s="582">
        <v>2018020073</v>
      </c>
      <c r="C76" s="627" t="s">
        <v>1081</v>
      </c>
      <c r="D76" s="628"/>
    </row>
    <row r="77" spans="1:4" ht="23.25" hidden="1" customHeight="1" thickBot="1">
      <c r="A77" s="582">
        <v>74</v>
      </c>
      <c r="B77" s="582">
        <v>2018020074</v>
      </c>
      <c r="C77" s="627" t="s">
        <v>1084</v>
      </c>
      <c r="D77" s="628"/>
    </row>
    <row r="78" spans="1:4" ht="23.25" hidden="1" customHeight="1" thickBot="1">
      <c r="A78" s="582">
        <v>75</v>
      </c>
      <c r="B78" s="582">
        <v>2018020075</v>
      </c>
      <c r="C78" s="627" t="s">
        <v>1090</v>
      </c>
      <c r="D78" s="628"/>
    </row>
    <row r="79" spans="1:4" ht="23.25" customHeight="1" thickBot="1">
      <c r="A79" s="582">
        <v>76</v>
      </c>
      <c r="B79" s="582">
        <v>2018020076</v>
      </c>
      <c r="C79" s="627" t="s">
        <v>1093</v>
      </c>
      <c r="D79" s="628"/>
    </row>
    <row r="80" spans="1:4" ht="23.25" customHeight="1" thickBot="1">
      <c r="A80" s="582">
        <v>77</v>
      </c>
      <c r="B80" s="582">
        <v>2018020077</v>
      </c>
      <c r="C80" s="627" t="s">
        <v>1093</v>
      </c>
      <c r="D80" s="628"/>
    </row>
    <row r="81" spans="1:4" ht="23.25" customHeight="1" thickBot="1">
      <c r="A81" s="582">
        <v>78</v>
      </c>
      <c r="B81" s="582">
        <v>2018020078</v>
      </c>
      <c r="C81" s="627" t="s">
        <v>1118</v>
      </c>
      <c r="D81" s="628"/>
    </row>
    <row r="82" spans="1:4" ht="23.25" customHeight="1" thickBot="1">
      <c r="A82" s="582">
        <v>79</v>
      </c>
      <c r="B82" s="582">
        <v>2018020079</v>
      </c>
      <c r="C82" s="627" t="s">
        <v>1133</v>
      </c>
      <c r="D82" s="628"/>
    </row>
    <row r="83" spans="1:4" ht="23.25" customHeight="1" thickBot="1">
      <c r="A83" s="582">
        <v>80</v>
      </c>
      <c r="B83" s="582">
        <v>2018020080</v>
      </c>
      <c r="C83" s="627" t="s">
        <v>1137</v>
      </c>
      <c r="D83" s="628"/>
    </row>
    <row r="84" spans="1:4" ht="23.25" customHeight="1" thickBot="1">
      <c r="A84" s="582">
        <v>81</v>
      </c>
      <c r="B84" s="582">
        <v>2018020081</v>
      </c>
      <c r="C84" s="627"/>
      <c r="D84" s="628"/>
    </row>
    <row r="85" spans="1:4" ht="23.25" customHeight="1" thickBot="1">
      <c r="A85" s="582">
        <v>82</v>
      </c>
      <c r="B85" s="582">
        <v>2018020082</v>
      </c>
      <c r="C85" s="627"/>
      <c r="D85" s="628"/>
    </row>
    <row r="86" spans="1:4" ht="23.25" customHeight="1" thickBot="1">
      <c r="A86" s="582">
        <v>83</v>
      </c>
      <c r="B86" s="582">
        <v>2018020083</v>
      </c>
      <c r="C86" s="627"/>
      <c r="D86" s="628"/>
    </row>
    <row r="87" spans="1:4" ht="23.25" customHeight="1" thickBot="1">
      <c r="A87" s="582">
        <v>84</v>
      </c>
      <c r="B87" s="582">
        <v>2018020084</v>
      </c>
      <c r="C87" s="627"/>
      <c r="D87" s="628"/>
    </row>
    <row r="88" spans="1:4" ht="23.25" customHeight="1" thickBot="1">
      <c r="A88" s="582">
        <v>85</v>
      </c>
      <c r="B88" s="582">
        <v>2018020085</v>
      </c>
      <c r="C88" s="627"/>
      <c r="D88" s="628"/>
    </row>
    <row r="89" spans="1:4" ht="23.25" customHeight="1" thickBot="1">
      <c r="A89" s="582">
        <v>86</v>
      </c>
      <c r="B89" s="582">
        <v>2018020086</v>
      </c>
      <c r="C89" s="627"/>
      <c r="D89" s="628"/>
    </row>
    <row r="90" spans="1:4" ht="23.25" customHeight="1" thickBot="1">
      <c r="A90" s="582">
        <v>87</v>
      </c>
      <c r="B90" s="582">
        <v>2018020087</v>
      </c>
      <c r="C90" s="627"/>
      <c r="D90" s="628"/>
    </row>
    <row r="91" spans="1:4" ht="23.25" customHeight="1" thickBot="1">
      <c r="A91" s="582">
        <v>88</v>
      </c>
      <c r="B91" s="582">
        <v>2018020088</v>
      </c>
      <c r="C91" s="627"/>
      <c r="D91" s="628"/>
    </row>
    <row r="92" spans="1:4" ht="23.25" customHeight="1" thickBot="1">
      <c r="A92" s="582">
        <v>89</v>
      </c>
      <c r="B92" s="582">
        <v>2018020089</v>
      </c>
      <c r="C92" s="627"/>
      <c r="D92" s="628"/>
    </row>
    <row r="93" spans="1:4" ht="23.25" customHeight="1" thickBot="1">
      <c r="A93" s="582">
        <v>90</v>
      </c>
      <c r="B93" s="582">
        <v>2018020090</v>
      </c>
      <c r="C93" s="627"/>
      <c r="D93" s="628"/>
    </row>
    <row r="94" spans="1:4" ht="23.25" customHeight="1" thickBot="1">
      <c r="A94" s="582">
        <v>91</v>
      </c>
      <c r="B94" s="582">
        <v>2018020091</v>
      </c>
      <c r="C94" s="627"/>
      <c r="D94" s="628"/>
    </row>
    <row r="95" spans="1:4" ht="23.25" customHeight="1" thickBot="1">
      <c r="A95" s="582">
        <v>92</v>
      </c>
      <c r="B95" s="582">
        <v>2018020092</v>
      </c>
      <c r="C95" s="627"/>
      <c r="D95" s="628"/>
    </row>
    <row r="96" spans="1:4" ht="23.25" customHeight="1" thickBot="1">
      <c r="A96" s="582">
        <v>93</v>
      </c>
      <c r="B96" s="582">
        <v>2018020093</v>
      </c>
      <c r="C96" s="627"/>
      <c r="D96" s="628"/>
    </row>
    <row r="97" spans="1:4" ht="23.25" customHeight="1" thickBot="1">
      <c r="A97" s="582">
        <v>94</v>
      </c>
      <c r="B97" s="582">
        <v>2018020094</v>
      </c>
      <c r="C97" s="627"/>
      <c r="D97" s="628"/>
    </row>
    <row r="98" spans="1:4" ht="23.25" customHeight="1" thickBot="1">
      <c r="A98" s="582">
        <v>95</v>
      </c>
      <c r="B98" s="582">
        <v>2018020095</v>
      </c>
      <c r="C98" s="627"/>
      <c r="D98" s="628"/>
    </row>
    <row r="99" spans="1:4" ht="23.25" customHeight="1" thickBot="1">
      <c r="A99" s="582">
        <v>96</v>
      </c>
      <c r="B99" s="582">
        <v>2018020096</v>
      </c>
      <c r="C99" s="627"/>
      <c r="D99" s="628"/>
    </row>
    <row r="100" spans="1:4" ht="23.25" customHeight="1" thickBot="1">
      <c r="A100" s="582">
        <v>97</v>
      </c>
      <c r="B100" s="582">
        <v>2018020097</v>
      </c>
      <c r="C100" s="627"/>
      <c r="D100" s="628"/>
    </row>
    <row r="101" spans="1:4" ht="23.25" customHeight="1" thickBot="1">
      <c r="A101" s="582">
        <v>98</v>
      </c>
      <c r="B101" s="582">
        <v>2018020098</v>
      </c>
      <c r="C101" s="627"/>
      <c r="D101" s="628"/>
    </row>
    <row r="102" spans="1:4" ht="23.25" customHeight="1" thickBot="1">
      <c r="A102" s="582">
        <v>99</v>
      </c>
      <c r="B102" s="582">
        <v>2018020099</v>
      </c>
      <c r="C102" s="627"/>
      <c r="D102" s="628"/>
    </row>
    <row r="103" spans="1:4" ht="23.25" customHeight="1" thickBot="1">
      <c r="A103" s="582">
        <v>100</v>
      </c>
      <c r="B103" s="582">
        <v>2018020100</v>
      </c>
      <c r="C103" s="627"/>
      <c r="D103" s="628"/>
    </row>
    <row r="104" spans="1:4" ht="23.25" customHeight="1" thickBot="1">
      <c r="A104" s="582">
        <v>101</v>
      </c>
      <c r="B104" s="582">
        <v>2018020101</v>
      </c>
      <c r="C104" s="627"/>
      <c r="D104" s="628"/>
    </row>
    <row r="105" spans="1:4" ht="23.25" customHeight="1" thickBot="1">
      <c r="A105" s="582">
        <v>102</v>
      </c>
      <c r="B105" s="582">
        <v>2018020102</v>
      </c>
      <c r="C105" s="627"/>
      <c r="D105" s="628"/>
    </row>
    <row r="106" spans="1:4" ht="23.25" customHeight="1" thickBot="1">
      <c r="A106" s="582">
        <v>103</v>
      </c>
      <c r="B106" s="582">
        <v>2018020103</v>
      </c>
      <c r="C106" s="627"/>
      <c r="D106" s="628"/>
    </row>
    <row r="107" spans="1:4" ht="23.25" customHeight="1" thickBot="1">
      <c r="A107" s="582">
        <v>104</v>
      </c>
      <c r="B107" s="582">
        <v>2018020104</v>
      </c>
      <c r="C107" s="627"/>
      <c r="D107" s="628"/>
    </row>
    <row r="108" spans="1:4" ht="23.25" customHeight="1" thickBot="1">
      <c r="A108" s="582">
        <v>105</v>
      </c>
      <c r="B108" s="582">
        <v>2018020105</v>
      </c>
      <c r="C108" s="627"/>
      <c r="D108" s="628"/>
    </row>
    <row r="109" spans="1:4" ht="23.25" customHeight="1" thickBot="1">
      <c r="A109" s="582">
        <v>106</v>
      </c>
      <c r="B109" s="582">
        <v>2018020106</v>
      </c>
      <c r="C109" s="627"/>
      <c r="D109" s="628"/>
    </row>
    <row r="110" spans="1:4" ht="23.25" customHeight="1" thickBot="1">
      <c r="A110" s="582">
        <v>107</v>
      </c>
      <c r="B110" s="582">
        <v>2018020107</v>
      </c>
      <c r="C110" s="627"/>
      <c r="D110" s="628"/>
    </row>
    <row r="111" spans="1:4" ht="23.25" customHeight="1" thickBot="1">
      <c r="A111" s="582">
        <v>108</v>
      </c>
      <c r="B111" s="582">
        <v>2018020108</v>
      </c>
      <c r="C111" s="627"/>
      <c r="D111" s="628"/>
    </row>
    <row r="112" spans="1:4" ht="23.25" customHeight="1" thickBot="1">
      <c r="A112" s="582">
        <v>109</v>
      </c>
      <c r="B112" s="582">
        <v>2018020109</v>
      </c>
      <c r="C112" s="627"/>
      <c r="D112" s="628"/>
    </row>
    <row r="113" spans="1:4" ht="23.25" customHeight="1" thickBot="1">
      <c r="A113" s="582">
        <v>110</v>
      </c>
      <c r="B113" s="582">
        <v>2018020110</v>
      </c>
      <c r="C113" s="627"/>
      <c r="D113" s="628"/>
    </row>
    <row r="114" spans="1:4" ht="23.25" customHeight="1" thickBot="1">
      <c r="A114" s="582"/>
      <c r="B114" s="582"/>
      <c r="C114" s="627"/>
      <c r="D114" s="628"/>
    </row>
    <row r="115" spans="1:4" ht="23.25" customHeight="1" thickBot="1">
      <c r="A115" s="582"/>
      <c r="B115" s="582"/>
      <c r="C115" s="627"/>
      <c r="D115" s="628"/>
    </row>
    <row r="116" spans="1:4" ht="23.25" customHeight="1" thickBot="1">
      <c r="A116" s="582"/>
      <c r="B116" s="582"/>
      <c r="C116" s="627"/>
      <c r="D116" s="628"/>
    </row>
    <row r="117" spans="1:4" ht="23.25" customHeight="1" thickBot="1">
      <c r="A117" s="582"/>
      <c r="B117" s="582"/>
      <c r="C117" s="627"/>
      <c r="D117" s="628"/>
    </row>
    <row r="118" spans="1:4" ht="23.25" customHeight="1" thickBot="1">
      <c r="A118" s="582"/>
      <c r="B118" s="582"/>
      <c r="C118" s="627"/>
      <c r="D118" s="628"/>
    </row>
    <row r="119" spans="1:4" ht="23.25" customHeight="1" thickBot="1">
      <c r="A119" s="582"/>
      <c r="B119" s="582"/>
      <c r="C119" s="627"/>
      <c r="D119" s="628"/>
    </row>
    <row r="120" spans="1:4" ht="23.25" customHeight="1" thickBot="1">
      <c r="A120" s="582"/>
      <c r="B120" s="582"/>
      <c r="C120" s="627"/>
      <c r="D120" s="628"/>
    </row>
    <row r="121" spans="1:4" ht="23.25" customHeight="1" thickBot="1">
      <c r="A121" s="582"/>
      <c r="B121" s="582"/>
      <c r="C121" s="627"/>
      <c r="D121" s="628"/>
    </row>
    <row r="122" spans="1:4" ht="23.25" customHeight="1" thickBot="1">
      <c r="A122" s="582"/>
      <c r="B122" s="582"/>
      <c r="C122" s="627"/>
      <c r="D122" s="628"/>
    </row>
  </sheetData>
  <mergeCells count="4">
    <mergeCell ref="B1:B3"/>
    <mergeCell ref="C1:C3"/>
    <mergeCell ref="D1:D3"/>
    <mergeCell ref="A1:A3"/>
  </mergeCells>
  <pageMargins left="0.70866141732283472" right="0.70866141732283472" top="0.74803149606299213" bottom="0.94488188976377963" header="0.31496062992125984" footer="0.31496062992125984"/>
  <pageSetup paperSize="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2">
    <tabColor rgb="FF00B0F0"/>
  </sheetPr>
  <dimension ref="B1:P79"/>
  <sheetViews>
    <sheetView topLeftCell="A43" workbookViewId="0">
      <selection activeCell="B69" sqref="B69"/>
    </sheetView>
  </sheetViews>
  <sheetFormatPr defaultRowHeight="12.75"/>
  <cols>
    <col min="1" max="1" width="1" customWidth="1"/>
    <col min="2" max="2" width="11.28515625" style="19" customWidth="1"/>
    <col min="3" max="3" width="2.28515625" customWidth="1"/>
    <col min="5" max="5" width="24.28515625" customWidth="1"/>
    <col min="6" max="6" width="11.42578125" style="21" customWidth="1"/>
    <col min="7" max="7" width="12.28515625" style="21" customWidth="1"/>
    <col min="8" max="8" width="13.7109375" style="21" customWidth="1"/>
    <col min="9" max="9" width="5" customWidth="1"/>
    <col min="11" max="11" width="13.4257812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94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81</v>
      </c>
      <c r="G2" s="18" t="s">
        <v>53</v>
      </c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3" t="s">
        <v>129</v>
      </c>
      <c r="G3" s="18" t="s">
        <v>61</v>
      </c>
      <c r="H3" s="21" t="s">
        <v>98</v>
      </c>
      <c r="L3" s="92">
        <f>F15</f>
        <v>200000</v>
      </c>
      <c r="M3" s="156">
        <f t="shared" ref="M3:M9" si="0">F16</f>
        <v>20000</v>
      </c>
      <c r="N3" s="92">
        <v>2000</v>
      </c>
      <c r="O3" s="92">
        <v>74223.382690329745</v>
      </c>
    </row>
    <row r="4" spans="2:16">
      <c r="D4" t="s">
        <v>262</v>
      </c>
      <c r="G4" s="18" t="s">
        <v>62</v>
      </c>
      <c r="L4" s="92">
        <f>F24</f>
        <v>300000</v>
      </c>
      <c r="M4" s="156">
        <f t="shared" si="0"/>
        <v>20000</v>
      </c>
      <c r="N4" s="92">
        <v>100000</v>
      </c>
      <c r="O4" s="92">
        <v>127673.02773935428</v>
      </c>
    </row>
    <row r="5" spans="2:16">
      <c r="G5" s="18"/>
      <c r="M5" s="156">
        <f t="shared" si="0"/>
        <v>60000</v>
      </c>
      <c r="N5" s="326">
        <v>150000</v>
      </c>
      <c r="O5" s="156">
        <v>-127000</v>
      </c>
    </row>
    <row r="6" spans="2:16">
      <c r="G6" s="18" t="s">
        <v>54</v>
      </c>
      <c r="M6" s="156">
        <f t="shared" si="0"/>
        <v>40000</v>
      </c>
      <c r="O6" s="161">
        <v>82558.745618950197</v>
      </c>
    </row>
    <row r="7" spans="2:16">
      <c r="G7" s="24" t="s">
        <v>55</v>
      </c>
      <c r="M7" s="156">
        <f t="shared" si="0"/>
        <v>40000</v>
      </c>
      <c r="O7" s="161">
        <v>78587.77623915569</v>
      </c>
    </row>
    <row r="8" spans="2:16">
      <c r="G8" s="18"/>
      <c r="M8" s="156">
        <f t="shared" si="0"/>
        <v>40000</v>
      </c>
      <c r="O8" s="156">
        <v>-127000</v>
      </c>
    </row>
    <row r="9" spans="2:16">
      <c r="M9" s="156">
        <f t="shared" si="0"/>
        <v>40000</v>
      </c>
      <c r="O9" s="156">
        <v>107407.68537507897</v>
      </c>
    </row>
    <row r="10" spans="2:16">
      <c r="M10" s="156">
        <f>F23</f>
        <v>75000</v>
      </c>
      <c r="O10" s="156">
        <v>319492.25897608948</v>
      </c>
    </row>
    <row r="11" spans="2:16">
      <c r="G11" s="18" t="s">
        <v>56</v>
      </c>
      <c r="M11" s="156">
        <f>F25</f>
        <v>50000</v>
      </c>
      <c r="O11" s="156">
        <v>187329.52212672896</v>
      </c>
    </row>
    <row r="12" spans="2:16">
      <c r="M12" s="156">
        <f>F26</f>
        <v>50000</v>
      </c>
      <c r="O12" s="156">
        <v>-500000</v>
      </c>
    </row>
    <row r="13" spans="2:16">
      <c r="M13" s="156">
        <f>F28</f>
        <v>50000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f>F29</f>
        <v>50000</v>
      </c>
    </row>
    <row r="15" spans="2:16" ht="15" customHeight="1">
      <c r="B15" s="19">
        <v>40634</v>
      </c>
      <c r="D15" t="s">
        <v>59</v>
      </c>
      <c r="F15" s="21">
        <v>200000</v>
      </c>
      <c r="G15" s="22"/>
      <c r="H15" s="21">
        <f>F15-G15</f>
        <v>200000</v>
      </c>
      <c r="M15" s="156">
        <f>F30</f>
        <v>75000</v>
      </c>
    </row>
    <row r="16" spans="2:16" ht="15" customHeight="1">
      <c r="B16" s="19">
        <v>40634</v>
      </c>
      <c r="D16" t="s">
        <v>102</v>
      </c>
      <c r="F16" s="21">
        <v>20000</v>
      </c>
      <c r="H16" s="21">
        <f t="shared" ref="H16:H68" si="1">H15+F16-G16</f>
        <v>220000</v>
      </c>
      <c r="M16" s="156">
        <v>50000</v>
      </c>
    </row>
    <row r="17" spans="2:13" ht="15" customHeight="1">
      <c r="B17" s="19">
        <v>40634</v>
      </c>
      <c r="D17" t="s">
        <v>102</v>
      </c>
      <c r="F17" s="21">
        <v>20000</v>
      </c>
      <c r="H17" s="21">
        <f t="shared" si="1"/>
        <v>240000</v>
      </c>
      <c r="M17" s="156">
        <v>25000</v>
      </c>
    </row>
    <row r="18" spans="2:13" ht="15" customHeight="1">
      <c r="B18" s="19" t="s">
        <v>291</v>
      </c>
      <c r="D18" t="s">
        <v>290</v>
      </c>
      <c r="F18" s="21">
        <v>60000</v>
      </c>
      <c r="H18" s="21">
        <f t="shared" si="1"/>
        <v>300000</v>
      </c>
      <c r="M18" s="156">
        <v>50000</v>
      </c>
    </row>
    <row r="19" spans="2:13" ht="15" customHeight="1">
      <c r="B19" s="19" t="s">
        <v>298</v>
      </c>
      <c r="D19" t="s">
        <v>297</v>
      </c>
      <c r="F19" s="21">
        <v>40000</v>
      </c>
      <c r="H19" s="21">
        <f t="shared" si="1"/>
        <v>340000</v>
      </c>
      <c r="M19" s="156">
        <v>75000</v>
      </c>
    </row>
    <row r="20" spans="2:13" ht="15" customHeight="1">
      <c r="B20" s="19">
        <v>40645</v>
      </c>
      <c r="D20" t="s">
        <v>299</v>
      </c>
      <c r="F20" s="21">
        <v>40000</v>
      </c>
      <c r="H20" s="21">
        <f t="shared" si="1"/>
        <v>380000</v>
      </c>
      <c r="M20" s="156">
        <v>50000</v>
      </c>
    </row>
    <row r="21" spans="2:13" ht="15" customHeight="1">
      <c r="B21" s="19">
        <v>40951</v>
      </c>
      <c r="D21" t="s">
        <v>303</v>
      </c>
      <c r="F21" s="21">
        <v>40000</v>
      </c>
      <c r="H21" s="21">
        <f t="shared" si="1"/>
        <v>420000</v>
      </c>
      <c r="M21" s="156">
        <v>50000</v>
      </c>
    </row>
    <row r="22" spans="2:13" ht="15" customHeight="1">
      <c r="B22" s="19">
        <v>41020</v>
      </c>
      <c r="D22" t="s">
        <v>317</v>
      </c>
      <c r="F22" s="21">
        <v>40000</v>
      </c>
      <c r="H22" s="21">
        <f t="shared" si="1"/>
        <v>460000</v>
      </c>
      <c r="M22" s="156">
        <v>50000</v>
      </c>
    </row>
    <row r="23" spans="2:13" ht="15" customHeight="1">
      <c r="B23" s="19">
        <v>41092</v>
      </c>
      <c r="D23" t="s">
        <v>347</v>
      </c>
      <c r="F23" s="21">
        <v>75000</v>
      </c>
      <c r="H23" s="21">
        <f t="shared" si="1"/>
        <v>535000</v>
      </c>
      <c r="M23" s="156">
        <v>75000</v>
      </c>
    </row>
    <row r="24" spans="2:13" ht="15" customHeight="1">
      <c r="B24" s="19">
        <v>41133</v>
      </c>
      <c r="D24" t="s">
        <v>59</v>
      </c>
      <c r="F24" s="21">
        <v>300000</v>
      </c>
      <c r="H24" s="21">
        <f t="shared" si="1"/>
        <v>835000</v>
      </c>
      <c r="M24" s="21">
        <v>200000</v>
      </c>
    </row>
    <row r="25" spans="2:13" ht="15" customHeight="1">
      <c r="B25" s="19">
        <v>41133</v>
      </c>
      <c r="D25" t="s">
        <v>363</v>
      </c>
      <c r="F25" s="21">
        <v>50000</v>
      </c>
      <c r="H25" s="21">
        <f t="shared" si="1"/>
        <v>885000</v>
      </c>
      <c r="M25" s="156">
        <v>50000</v>
      </c>
    </row>
    <row r="26" spans="2:13" ht="15" customHeight="1">
      <c r="B26" s="19">
        <v>41208</v>
      </c>
      <c r="D26" t="s">
        <v>368</v>
      </c>
      <c r="F26" s="21">
        <v>50000</v>
      </c>
      <c r="H26" s="21">
        <f t="shared" si="1"/>
        <v>935000</v>
      </c>
      <c r="M26" s="156">
        <v>75000</v>
      </c>
    </row>
    <row r="27" spans="2:13" ht="15" customHeight="1">
      <c r="B27" s="19">
        <v>41274</v>
      </c>
      <c r="D27" t="s">
        <v>392</v>
      </c>
      <c r="F27" s="21">
        <v>74223.382690329745</v>
      </c>
      <c r="H27" s="21">
        <f t="shared" si="1"/>
        <v>1009223.3826903298</v>
      </c>
      <c r="M27" s="156">
        <v>75000</v>
      </c>
    </row>
    <row r="28" spans="2:13" ht="15" customHeight="1">
      <c r="B28" s="19">
        <v>41288</v>
      </c>
      <c r="D28" t="s">
        <v>398</v>
      </c>
      <c r="F28" s="21">
        <v>50000</v>
      </c>
      <c r="H28" s="21">
        <f t="shared" si="1"/>
        <v>1059223.3826903298</v>
      </c>
      <c r="M28" s="156">
        <v>25000</v>
      </c>
    </row>
    <row r="29" spans="2:13" ht="15" customHeight="1">
      <c r="B29" s="19">
        <v>41357</v>
      </c>
      <c r="D29" t="s">
        <v>449</v>
      </c>
      <c r="F29" s="21">
        <v>50000</v>
      </c>
      <c r="H29" s="21">
        <f t="shared" si="1"/>
        <v>1109223.3826903298</v>
      </c>
      <c r="M29" s="156">
        <v>25000</v>
      </c>
    </row>
    <row r="30" spans="2:13" ht="15" customHeight="1">
      <c r="B30" s="19">
        <v>41440</v>
      </c>
      <c r="D30" t="s">
        <v>448</v>
      </c>
      <c r="F30" s="21">
        <v>75000</v>
      </c>
      <c r="H30" s="21">
        <f t="shared" si="1"/>
        <v>1184223.3826903298</v>
      </c>
      <c r="M30" s="156">
        <v>50000</v>
      </c>
    </row>
    <row r="31" spans="2:13" ht="15" customHeight="1">
      <c r="B31" s="19">
        <v>41497</v>
      </c>
      <c r="D31" t="s">
        <v>466</v>
      </c>
      <c r="F31" s="21">
        <v>50000</v>
      </c>
      <c r="H31" s="21">
        <f t="shared" si="1"/>
        <v>1234223.3826903298</v>
      </c>
      <c r="M31" s="156">
        <v>50000</v>
      </c>
    </row>
    <row r="32" spans="2:13" ht="15" customHeight="1">
      <c r="B32" s="19" t="s">
        <v>482</v>
      </c>
      <c r="D32" t="s">
        <v>483</v>
      </c>
      <c r="F32" s="21">
        <v>25000</v>
      </c>
      <c r="H32" s="21">
        <f t="shared" si="1"/>
        <v>1259223.3826903298</v>
      </c>
      <c r="M32" s="156">
        <v>-100000</v>
      </c>
    </row>
    <row r="33" spans="2:13" ht="15" customHeight="1">
      <c r="B33" s="19">
        <v>41594</v>
      </c>
      <c r="D33" t="s">
        <v>490</v>
      </c>
      <c r="F33" s="21">
        <v>50000</v>
      </c>
      <c r="H33" s="21">
        <f t="shared" si="1"/>
        <v>1309223.3826903298</v>
      </c>
      <c r="M33" s="156">
        <v>-100000</v>
      </c>
    </row>
    <row r="34" spans="2:13" ht="15" customHeight="1">
      <c r="B34" s="19">
        <v>41640</v>
      </c>
      <c r="D34" s="55" t="s">
        <v>499</v>
      </c>
      <c r="F34" s="21">
        <v>127673.02773935428</v>
      </c>
      <c r="H34" s="21">
        <f t="shared" si="1"/>
        <v>1436896.410429684</v>
      </c>
      <c r="M34" s="156">
        <v>400000</v>
      </c>
    </row>
    <row r="35" spans="2:13" ht="15" customHeight="1">
      <c r="B35" s="19">
        <v>41640</v>
      </c>
      <c r="D35" t="s">
        <v>503</v>
      </c>
      <c r="G35" s="21">
        <v>127000</v>
      </c>
      <c r="H35" s="21">
        <f t="shared" si="1"/>
        <v>1309896.410429684</v>
      </c>
      <c r="M35" s="156">
        <v>400000</v>
      </c>
    </row>
    <row r="36" spans="2:13" ht="15" customHeight="1">
      <c r="B36" s="19">
        <v>41679</v>
      </c>
      <c r="D36" t="s">
        <v>516</v>
      </c>
      <c r="F36" s="21">
        <v>75000</v>
      </c>
      <c r="H36" s="21">
        <f t="shared" si="1"/>
        <v>1384896.410429684</v>
      </c>
      <c r="L36" s="92"/>
      <c r="M36" s="156">
        <v>50000</v>
      </c>
    </row>
    <row r="37" spans="2:13" ht="15" customHeight="1">
      <c r="B37" s="19">
        <v>41747</v>
      </c>
      <c r="D37" t="s">
        <v>529</v>
      </c>
      <c r="F37" s="21">
        <v>50000</v>
      </c>
      <c r="H37" s="21">
        <f t="shared" si="1"/>
        <v>1434896.410429684</v>
      </c>
      <c r="M37" s="156">
        <v>50000</v>
      </c>
    </row>
    <row r="38" spans="2:13" ht="15" customHeight="1">
      <c r="B38" s="19">
        <v>41747</v>
      </c>
      <c r="D38" t="s">
        <v>530</v>
      </c>
      <c r="F38" s="21">
        <v>2000</v>
      </c>
      <c r="H38" s="21">
        <f t="shared" si="1"/>
        <v>1436896.410429684</v>
      </c>
      <c r="M38" s="326">
        <v>150000</v>
      </c>
    </row>
    <row r="39" spans="2:13" ht="15" customHeight="1">
      <c r="B39" s="19">
        <v>41805</v>
      </c>
      <c r="D39" t="s">
        <v>551</v>
      </c>
      <c r="F39" s="21">
        <v>50000</v>
      </c>
      <c r="H39" s="21">
        <f t="shared" si="1"/>
        <v>1486896.410429684</v>
      </c>
      <c r="M39" s="156">
        <v>200000</v>
      </c>
    </row>
    <row r="40" spans="2:13" ht="15" customHeight="1">
      <c r="B40" s="19">
        <v>41896</v>
      </c>
      <c r="D40" t="s">
        <v>552</v>
      </c>
      <c r="F40" s="21">
        <v>50000</v>
      </c>
      <c r="H40" s="21">
        <f t="shared" si="1"/>
        <v>1536896.410429684</v>
      </c>
      <c r="M40" s="156">
        <v>100000</v>
      </c>
    </row>
    <row r="41" spans="2:13" ht="15" customHeight="1">
      <c r="B41" s="19">
        <v>41898</v>
      </c>
      <c r="D41" t="s">
        <v>557</v>
      </c>
      <c r="F41" s="21">
        <v>75000</v>
      </c>
      <c r="H41" s="21">
        <f t="shared" si="1"/>
        <v>1611896.410429684</v>
      </c>
      <c r="M41" s="156">
        <v>350000</v>
      </c>
    </row>
    <row r="42" spans="2:13" ht="15" customHeight="1">
      <c r="B42" s="19">
        <v>42200</v>
      </c>
      <c r="D42" t="s">
        <v>647</v>
      </c>
      <c r="F42" s="21">
        <v>200000</v>
      </c>
      <c r="H42" s="21">
        <f t="shared" si="1"/>
        <v>1811896.410429684</v>
      </c>
      <c r="M42" s="156">
        <v>500000</v>
      </c>
    </row>
    <row r="43" spans="2:13" ht="15" customHeight="1">
      <c r="B43" s="319">
        <v>42253</v>
      </c>
      <c r="C43" s="144" t="s">
        <v>650</v>
      </c>
      <c r="D43" s="145"/>
      <c r="E43" s="323"/>
      <c r="F43" s="323">
        <v>50000</v>
      </c>
      <c r="H43" s="21">
        <f t="shared" si="1"/>
        <v>1861896.410429684</v>
      </c>
    </row>
    <row r="44" spans="2:13" ht="15" customHeight="1">
      <c r="B44" s="319">
        <v>42344</v>
      </c>
      <c r="C44" s="144" t="s">
        <v>673</v>
      </c>
      <c r="F44" s="21">
        <v>75000</v>
      </c>
      <c r="H44" s="21">
        <f t="shared" si="1"/>
        <v>1936896.410429684</v>
      </c>
    </row>
    <row r="45" spans="2:13" ht="15" customHeight="1">
      <c r="B45" s="319">
        <v>42369</v>
      </c>
      <c r="C45" s="144"/>
      <c r="D45" t="s">
        <v>591</v>
      </c>
      <c r="F45" s="342">
        <v>82558.745618950197</v>
      </c>
      <c r="H45" s="21">
        <f>H44+F45-G45</f>
        <v>2019455.1560486341</v>
      </c>
    </row>
    <row r="46" spans="2:13" ht="15" customHeight="1">
      <c r="B46" s="319">
        <v>42369</v>
      </c>
      <c r="C46" s="144"/>
      <c r="D46" t="s">
        <v>686</v>
      </c>
      <c r="F46" s="21">
        <v>78587.77623915569</v>
      </c>
      <c r="H46" s="21">
        <f t="shared" si="1"/>
        <v>2098042.9322877899</v>
      </c>
    </row>
    <row r="47" spans="2:13" ht="15" customHeight="1">
      <c r="B47" s="319">
        <v>42436</v>
      </c>
      <c r="C47" s="144"/>
      <c r="D47" t="s">
        <v>696</v>
      </c>
      <c r="G47" s="21">
        <v>127000</v>
      </c>
      <c r="H47" s="21">
        <f t="shared" si="1"/>
        <v>1971042.9322877899</v>
      </c>
    </row>
    <row r="48" spans="2:13" ht="15" customHeight="1">
      <c r="B48" s="319">
        <v>42436</v>
      </c>
      <c r="C48" s="144"/>
      <c r="D48" t="s">
        <v>697</v>
      </c>
      <c r="F48" s="21">
        <v>75000</v>
      </c>
      <c r="H48" s="21">
        <f t="shared" si="1"/>
        <v>2046042.9322877899</v>
      </c>
    </row>
    <row r="49" spans="2:16" ht="15" customHeight="1">
      <c r="B49" s="319">
        <v>42478</v>
      </c>
      <c r="C49" s="144"/>
      <c r="D49" t="s">
        <v>491</v>
      </c>
      <c r="F49" s="21">
        <v>25000</v>
      </c>
      <c r="H49" s="21">
        <f t="shared" si="1"/>
        <v>2071042.9322877899</v>
      </c>
    </row>
    <row r="50" spans="2:16" ht="15" customHeight="1">
      <c r="B50" s="19">
        <v>42506</v>
      </c>
      <c r="D50" t="s">
        <v>703</v>
      </c>
      <c r="F50" s="21">
        <v>25000</v>
      </c>
      <c r="H50" s="21">
        <f t="shared" si="1"/>
        <v>2096042.9322877899</v>
      </c>
    </row>
    <row r="51" spans="2:16">
      <c r="B51" s="351">
        <v>42661</v>
      </c>
      <c r="C51" s="352" t="s">
        <v>721</v>
      </c>
      <c r="D51" s="325"/>
      <c r="E51" s="325"/>
      <c r="F51" s="326">
        <v>50000</v>
      </c>
      <c r="H51" s="21">
        <f t="shared" si="1"/>
        <v>2146042.9322877899</v>
      </c>
    </row>
    <row r="52" spans="2:16" s="145" customFormat="1">
      <c r="B52" s="356">
        <v>42733</v>
      </c>
      <c r="C52" s="324"/>
      <c r="D52" s="325" t="s">
        <v>725</v>
      </c>
      <c r="E52" s="325"/>
      <c r="F52" s="326">
        <v>50000</v>
      </c>
      <c r="G52" s="137"/>
      <c r="H52" s="21">
        <f t="shared" si="1"/>
        <v>2196042.9322877899</v>
      </c>
      <c r="L52" s="357"/>
      <c r="M52" s="358"/>
      <c r="N52" s="357"/>
      <c r="O52" s="357"/>
      <c r="P52" s="357"/>
    </row>
    <row r="53" spans="2:16" s="145" customFormat="1">
      <c r="B53" s="319">
        <v>42735</v>
      </c>
      <c r="C53" s="144"/>
      <c r="D53" s="55" t="s">
        <v>726</v>
      </c>
      <c r="E53" s="325"/>
      <c r="F53" s="326">
        <v>107407.68537507897</v>
      </c>
      <c r="G53" s="137"/>
      <c r="H53" s="21">
        <f t="shared" si="1"/>
        <v>2303450.6176628689</v>
      </c>
      <c r="L53" s="357"/>
      <c r="M53" s="358"/>
      <c r="N53" s="357"/>
      <c r="O53" s="357"/>
      <c r="P53" s="357"/>
    </row>
    <row r="54" spans="2:16" s="145" customFormat="1">
      <c r="B54" s="356">
        <v>42917</v>
      </c>
      <c r="C54" s="324"/>
      <c r="D54" s="421" t="s">
        <v>762</v>
      </c>
      <c r="E54" s="325"/>
      <c r="F54" s="326"/>
      <c r="G54" s="137">
        <v>100000</v>
      </c>
      <c r="H54" s="21">
        <f t="shared" si="1"/>
        <v>2203450.6176628689</v>
      </c>
      <c r="L54" s="357"/>
      <c r="M54" s="358"/>
      <c r="N54" s="357"/>
      <c r="O54" s="357"/>
      <c r="P54" s="357"/>
    </row>
    <row r="55" spans="2:16" s="145" customFormat="1">
      <c r="B55" s="356">
        <v>42917</v>
      </c>
      <c r="C55" s="324"/>
      <c r="D55" s="421" t="s">
        <v>763</v>
      </c>
      <c r="E55" s="325"/>
      <c r="F55" s="326"/>
      <c r="G55" s="137">
        <v>100000</v>
      </c>
      <c r="H55" s="21">
        <f t="shared" si="1"/>
        <v>2103450.6176628689</v>
      </c>
      <c r="L55" s="357"/>
      <c r="M55" s="358"/>
      <c r="N55" s="357"/>
      <c r="O55" s="357"/>
      <c r="P55" s="357"/>
    </row>
    <row r="56" spans="2:16" s="145" customFormat="1">
      <c r="B56" s="356">
        <v>43017</v>
      </c>
      <c r="C56" s="324"/>
      <c r="D56" s="421" t="s">
        <v>286</v>
      </c>
      <c r="E56" s="325"/>
      <c r="F56" s="326">
        <v>400000</v>
      </c>
      <c r="G56" s="137"/>
      <c r="H56" s="21">
        <f t="shared" si="1"/>
        <v>2503450.6176628689</v>
      </c>
      <c r="L56" s="357"/>
      <c r="M56" s="358"/>
      <c r="N56" s="357"/>
      <c r="O56" s="357"/>
      <c r="P56" s="357"/>
    </row>
    <row r="57" spans="2:16" s="145" customFormat="1">
      <c r="B57" s="356">
        <v>43065</v>
      </c>
      <c r="C57" s="324"/>
      <c r="D57" s="421" t="s">
        <v>834</v>
      </c>
      <c r="E57" s="325"/>
      <c r="F57" s="326">
        <v>400000</v>
      </c>
      <c r="G57" s="137"/>
      <c r="H57" s="21">
        <f t="shared" si="1"/>
        <v>2903450.6176628689</v>
      </c>
      <c r="L57" s="357"/>
      <c r="M57" s="358"/>
      <c r="N57" s="357"/>
      <c r="O57" s="357"/>
      <c r="P57" s="357"/>
    </row>
    <row r="58" spans="2:16" s="145" customFormat="1">
      <c r="B58" s="356">
        <v>43105</v>
      </c>
      <c r="C58" s="324"/>
      <c r="D58" s="421" t="s">
        <v>530</v>
      </c>
      <c r="E58" s="325"/>
      <c r="F58" s="326">
        <v>100000</v>
      </c>
      <c r="G58" s="137"/>
      <c r="H58" s="21">
        <f t="shared" si="1"/>
        <v>3003450.6176628689</v>
      </c>
      <c r="L58" s="357"/>
      <c r="M58" s="358"/>
      <c r="N58" s="357"/>
      <c r="O58" s="357"/>
      <c r="P58" s="357"/>
    </row>
    <row r="59" spans="2:16" s="145" customFormat="1">
      <c r="B59" s="356">
        <v>43149</v>
      </c>
      <c r="C59" s="324"/>
      <c r="D59" s="421" t="s">
        <v>863</v>
      </c>
      <c r="E59" s="325"/>
      <c r="F59" s="326">
        <v>50000</v>
      </c>
      <c r="G59" s="137"/>
      <c r="H59" s="21">
        <f t="shared" si="1"/>
        <v>3053450.6176628689</v>
      </c>
      <c r="L59" s="357"/>
      <c r="M59" s="358"/>
      <c r="N59" s="357"/>
      <c r="O59" s="357"/>
      <c r="P59" s="357"/>
    </row>
    <row r="60" spans="2:16" s="145" customFormat="1">
      <c r="B60" s="356">
        <v>43191</v>
      </c>
      <c r="C60" s="324"/>
      <c r="D60" s="421" t="s">
        <v>871</v>
      </c>
      <c r="E60" s="325"/>
      <c r="F60" s="326">
        <v>50000</v>
      </c>
      <c r="G60" s="137"/>
      <c r="H60" s="21">
        <f t="shared" si="1"/>
        <v>3103450.6176628689</v>
      </c>
      <c r="L60" s="357"/>
      <c r="M60" s="358"/>
      <c r="N60" s="357"/>
      <c r="O60" s="357"/>
      <c r="P60" s="357"/>
    </row>
    <row r="61" spans="2:16" s="145" customFormat="1">
      <c r="B61" s="356">
        <v>43240</v>
      </c>
      <c r="C61" s="324"/>
      <c r="D61" s="421" t="s">
        <v>876</v>
      </c>
      <c r="E61" s="325"/>
      <c r="F61" s="326">
        <v>150000</v>
      </c>
      <c r="G61" s="137"/>
      <c r="H61" s="21">
        <f t="shared" si="1"/>
        <v>3253450.6176628689</v>
      </c>
      <c r="L61" s="357"/>
      <c r="M61" s="358"/>
      <c r="N61" s="357"/>
      <c r="O61" s="357"/>
      <c r="P61" s="357"/>
    </row>
    <row r="62" spans="2:16" s="145" customFormat="1">
      <c r="B62" s="356">
        <v>43306</v>
      </c>
      <c r="C62" s="324"/>
      <c r="D62" s="421" t="s">
        <v>899</v>
      </c>
      <c r="E62" s="325"/>
      <c r="F62" s="326">
        <v>200000</v>
      </c>
      <c r="G62" s="137"/>
      <c r="H62" s="21">
        <f t="shared" si="1"/>
        <v>3453450.6176628689</v>
      </c>
      <c r="L62" s="357"/>
      <c r="M62" s="358"/>
      <c r="N62" s="357"/>
      <c r="O62" s="357"/>
      <c r="P62" s="357"/>
    </row>
    <row r="63" spans="2:16" s="145" customFormat="1">
      <c r="B63" s="356">
        <v>43369</v>
      </c>
      <c r="C63" s="324"/>
      <c r="D63" s="421" t="s">
        <v>911</v>
      </c>
      <c r="E63" s="325"/>
      <c r="F63" s="326">
        <v>100000</v>
      </c>
      <c r="G63" s="137"/>
      <c r="H63" s="21">
        <f t="shared" si="1"/>
        <v>3553450.6176628689</v>
      </c>
      <c r="L63" s="357"/>
      <c r="M63" s="358"/>
      <c r="N63" s="357"/>
      <c r="O63" s="357"/>
      <c r="P63" s="357"/>
    </row>
    <row r="64" spans="2:16" s="145" customFormat="1">
      <c r="B64" s="356">
        <v>43438</v>
      </c>
      <c r="C64" s="324"/>
      <c r="D64" s="421" t="s">
        <v>530</v>
      </c>
      <c r="E64" s="325"/>
      <c r="F64" s="326">
        <v>150000</v>
      </c>
      <c r="G64" s="137"/>
      <c r="H64" s="21">
        <f t="shared" si="1"/>
        <v>3703450.6176628689</v>
      </c>
      <c r="L64" s="357"/>
      <c r="M64" s="358"/>
      <c r="N64" s="357"/>
      <c r="O64" s="357"/>
      <c r="P64" s="357"/>
    </row>
    <row r="65" spans="2:16" s="145" customFormat="1">
      <c r="B65" s="356">
        <v>43465</v>
      </c>
      <c r="C65" s="324"/>
      <c r="D65" s="55" t="s">
        <v>1014</v>
      </c>
      <c r="E65" s="325"/>
      <c r="F65" s="326">
        <v>319492.25897608948</v>
      </c>
      <c r="G65" s="137"/>
      <c r="H65" s="21">
        <f t="shared" si="1"/>
        <v>4022942.8766389582</v>
      </c>
      <c r="L65" s="357"/>
      <c r="M65" s="358"/>
      <c r="N65" s="357"/>
      <c r="O65" s="357"/>
      <c r="P65" s="357"/>
    </row>
    <row r="66" spans="2:16" s="145" customFormat="1">
      <c r="B66" s="356">
        <v>43465</v>
      </c>
      <c r="C66" s="324"/>
      <c r="D66" s="55" t="s">
        <v>1103</v>
      </c>
      <c r="E66" s="325"/>
      <c r="F66" s="326">
        <v>187329.52212672896</v>
      </c>
      <c r="G66" s="137"/>
      <c r="H66" s="21">
        <f t="shared" si="1"/>
        <v>4210272.3987656869</v>
      </c>
      <c r="J66" s="629"/>
      <c r="L66" s="357"/>
      <c r="M66" s="358"/>
      <c r="N66" s="357"/>
      <c r="O66" s="357"/>
      <c r="P66" s="357"/>
    </row>
    <row r="67" spans="2:16" s="145" customFormat="1">
      <c r="B67" s="356">
        <v>43842</v>
      </c>
      <c r="C67" s="324"/>
      <c r="D67" s="421" t="s">
        <v>1105</v>
      </c>
      <c r="E67" s="325"/>
      <c r="F67" s="326">
        <v>350000</v>
      </c>
      <c r="G67" s="137"/>
      <c r="H67" s="21">
        <f t="shared" si="1"/>
        <v>4560272.3987656869</v>
      </c>
      <c r="L67" s="357"/>
      <c r="M67" s="358"/>
      <c r="N67" s="357"/>
      <c r="O67" s="357"/>
      <c r="P67" s="357"/>
    </row>
    <row r="68" spans="2:16" s="145" customFormat="1">
      <c r="B68" s="356">
        <v>43897</v>
      </c>
      <c r="C68" s="324"/>
      <c r="D68" s="421" t="s">
        <v>1115</v>
      </c>
      <c r="E68" s="325"/>
      <c r="F68" s="326">
        <v>500000</v>
      </c>
      <c r="G68" s="326">
        <v>500000</v>
      </c>
      <c r="H68" s="21">
        <f t="shared" si="1"/>
        <v>4560272.3987656869</v>
      </c>
      <c r="L68" s="357"/>
      <c r="M68" s="358"/>
      <c r="N68" s="357"/>
      <c r="O68" s="357"/>
      <c r="P68" s="357"/>
    </row>
    <row r="69" spans="2:16" s="145" customFormat="1">
      <c r="B69" s="356"/>
      <c r="C69" s="324"/>
      <c r="D69" s="325"/>
      <c r="E69" s="325"/>
      <c r="F69" s="326"/>
      <c r="G69" s="137"/>
      <c r="H69" s="137"/>
      <c r="L69" s="357"/>
      <c r="M69" s="358"/>
      <c r="N69" s="357"/>
      <c r="O69" s="357"/>
      <c r="P69" s="357"/>
    </row>
    <row r="70" spans="2:16" s="145" customFormat="1">
      <c r="B70" s="356"/>
      <c r="C70" s="324"/>
      <c r="D70" s="325"/>
      <c r="E70" s="325"/>
      <c r="F70" s="326"/>
      <c r="G70" s="137"/>
      <c r="H70" s="137"/>
      <c r="L70" s="357"/>
      <c r="M70" s="358"/>
      <c r="N70" s="357"/>
      <c r="O70" s="357"/>
      <c r="P70" s="357"/>
    </row>
    <row r="71" spans="2:16" s="145" customFormat="1">
      <c r="B71" s="356"/>
      <c r="C71" s="324"/>
      <c r="D71" s="325"/>
      <c r="E71" s="325"/>
      <c r="F71" s="326"/>
      <c r="G71" s="137"/>
      <c r="H71" s="137"/>
      <c r="L71" s="357"/>
      <c r="M71" s="358"/>
      <c r="N71" s="357"/>
      <c r="O71" s="357"/>
      <c r="P71" s="357"/>
    </row>
    <row r="72" spans="2:16" s="145" customFormat="1">
      <c r="B72" s="356"/>
      <c r="C72" s="324"/>
      <c r="D72" s="325"/>
      <c r="E72" s="325"/>
      <c r="F72" s="326"/>
      <c r="G72" s="137"/>
      <c r="H72" s="137"/>
      <c r="L72" s="357"/>
      <c r="M72" s="358"/>
      <c r="N72" s="357"/>
      <c r="O72" s="357"/>
      <c r="P72" s="357"/>
    </row>
    <row r="73" spans="2:16" s="145" customFormat="1">
      <c r="B73" s="356"/>
      <c r="C73" s="324"/>
      <c r="D73" s="325"/>
      <c r="E73" s="325"/>
      <c r="F73" s="326"/>
      <c r="G73" s="137"/>
      <c r="H73" s="137"/>
      <c r="L73" s="357"/>
      <c r="M73" s="358"/>
      <c r="N73" s="357"/>
      <c r="O73" s="357"/>
      <c r="P73" s="357"/>
    </row>
    <row r="74" spans="2:16" s="145" customFormat="1">
      <c r="B74" s="356"/>
      <c r="C74" s="324"/>
      <c r="D74" s="325"/>
      <c r="E74" s="325"/>
      <c r="F74" s="326"/>
      <c r="G74" s="137"/>
      <c r="H74" s="137"/>
      <c r="L74" s="357"/>
      <c r="M74" s="358"/>
      <c r="N74" s="357"/>
      <c r="O74" s="357"/>
      <c r="P74" s="357"/>
    </row>
    <row r="78" spans="2:16" ht="15" customHeight="1">
      <c r="D78" s="76" t="s">
        <v>307</v>
      </c>
      <c r="E78" s="48"/>
      <c r="F78" s="53">
        <f>SUM(F15:F77)</f>
        <v>5514272.3987656869</v>
      </c>
      <c r="G78" s="53">
        <f>SUM(G15:G77)</f>
        <v>954000</v>
      </c>
      <c r="H78" s="77">
        <f>F78-G78</f>
        <v>4560272.3987656869</v>
      </c>
      <c r="L78" s="92">
        <f>SUM(L3:L11)</f>
        <v>500000</v>
      </c>
      <c r="M78" s="156">
        <f>SUM(M3:M77)</f>
        <v>3585000</v>
      </c>
      <c r="N78" s="92">
        <f>SUM(N3:N11)</f>
        <v>252000</v>
      </c>
      <c r="O78" s="92">
        <f>SUM(O3:O77)</f>
        <v>223272.39876568737</v>
      </c>
      <c r="P78" s="92">
        <f>SUM(P3:P11)</f>
        <v>0</v>
      </c>
    </row>
    <row r="79" spans="2:16">
      <c r="P79" s="92">
        <f>SUM(L78:P78)</f>
        <v>4560272.3987656869</v>
      </c>
    </row>
  </sheetData>
  <mergeCells count="1">
    <mergeCell ref="L1:P1"/>
  </mergeCells>
  <phoneticPr fontId="7" type="noConversion"/>
  <pageMargins left="0.23622047244094491" right="0.74803149606299213" top="0.59055118110236227" bottom="0.98425196850393704" header="0.23622047244094491" footer="0.51181102362204722"/>
  <pageSetup scale="80" orientation="landscape" horizontalDpi="4294967294" verticalDpi="0" r:id="rId1"/>
  <headerFooter alignWithMargins="0"/>
  <legacyDrawing r:id="rId2"/>
  <oleObjects>
    <oleObject progId="CorelDRAW.Graphic.11" shapeId="26625" r:id="rId3"/>
    <oleObject progId="CorelDRAW.Graphic.11" shapeId="26626" r:id="rId4"/>
  </oleObjects>
</worksheet>
</file>

<file path=xl/worksheets/sheet110.xml><?xml version="1.0" encoding="utf-8"?>
<worksheet xmlns="http://schemas.openxmlformats.org/spreadsheetml/2006/main" xmlns:r="http://schemas.openxmlformats.org/officeDocument/2006/relationships">
  <dimension ref="B1:P60"/>
  <sheetViews>
    <sheetView topLeftCell="A31" workbookViewId="0">
      <selection activeCell="B46" sqref="B46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11.8554687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55" t="s">
        <v>870</v>
      </c>
      <c r="G1" s="307" t="s">
        <v>977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124" t="s">
        <v>156</v>
      </c>
      <c r="G2" s="18" t="s">
        <v>53</v>
      </c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s="25" t="s">
        <v>847</v>
      </c>
      <c r="G3" s="18" t="s">
        <v>61</v>
      </c>
      <c r="H3"/>
      <c r="L3" s="485">
        <v>500000</v>
      </c>
      <c r="M3" s="137">
        <v>50000</v>
      </c>
      <c r="N3" s="485">
        <v>0</v>
      </c>
      <c r="O3" s="137"/>
      <c r="P3" s="485"/>
    </row>
    <row r="4" spans="2:16">
      <c r="D4" s="93" t="s">
        <v>411</v>
      </c>
      <c r="G4" s="89" t="s">
        <v>379</v>
      </c>
      <c r="H4" s="141">
        <f>B15</f>
        <v>43074</v>
      </c>
      <c r="L4" s="485"/>
      <c r="M4" s="137">
        <v>50000</v>
      </c>
      <c r="N4" s="485"/>
      <c r="O4" s="485"/>
      <c r="P4" s="357"/>
    </row>
    <row r="5" spans="2:16">
      <c r="G5" s="18"/>
      <c r="L5" s="357"/>
      <c r="M5" s="137">
        <v>50000</v>
      </c>
      <c r="N5" s="349"/>
      <c r="O5" s="349"/>
      <c r="P5" s="357"/>
    </row>
    <row r="6" spans="2:16">
      <c r="C6" s="689" t="s">
        <v>472</v>
      </c>
      <c r="D6" s="689"/>
      <c r="E6" s="689"/>
      <c r="F6" s="137"/>
      <c r="G6" s="345" t="s">
        <v>381</v>
      </c>
      <c r="H6" s="142">
        <f>H4</f>
        <v>43074</v>
      </c>
      <c r="L6" s="357"/>
      <c r="M6" s="137">
        <v>50000</v>
      </c>
      <c r="N6" s="349"/>
      <c r="O6" s="349"/>
      <c r="P6" s="357"/>
    </row>
    <row r="7" spans="2:16">
      <c r="C7" s="145"/>
      <c r="D7" s="145"/>
      <c r="E7" s="145"/>
      <c r="F7" s="137"/>
      <c r="G7" s="346" t="s">
        <v>950</v>
      </c>
      <c r="L7" s="357"/>
      <c r="M7" s="137">
        <v>50000</v>
      </c>
      <c r="N7" s="357"/>
      <c r="O7" s="357"/>
      <c r="P7" s="357"/>
    </row>
    <row r="8" spans="2:16">
      <c r="C8" s="145"/>
      <c r="D8" s="145"/>
      <c r="E8" s="145"/>
      <c r="F8" s="137"/>
      <c r="G8" s="347"/>
      <c r="L8" s="357"/>
      <c r="M8" s="137">
        <v>50000</v>
      </c>
      <c r="N8" s="357"/>
      <c r="O8" s="357"/>
      <c r="P8" s="357"/>
    </row>
    <row r="9" spans="2:16">
      <c r="C9" s="145"/>
      <c r="D9" s="145"/>
      <c r="E9" s="145"/>
      <c r="F9" s="137"/>
      <c r="G9" s="137"/>
      <c r="L9" s="357"/>
      <c r="M9" s="137">
        <v>50000</v>
      </c>
      <c r="N9" s="357"/>
      <c r="O9" s="357"/>
      <c r="P9" s="357"/>
    </row>
    <row r="10" spans="2:16">
      <c r="C10" s="145"/>
      <c r="D10" s="145"/>
      <c r="E10" s="145"/>
      <c r="F10" s="137"/>
      <c r="G10" s="137"/>
      <c r="L10" s="357"/>
      <c r="M10" s="137">
        <v>50000</v>
      </c>
      <c r="N10" s="357"/>
      <c r="O10" s="357"/>
      <c r="P10" s="357"/>
    </row>
    <row r="11" spans="2:16">
      <c r="C11" s="145"/>
      <c r="D11" s="145"/>
      <c r="E11" s="145"/>
      <c r="F11" s="137"/>
      <c r="G11" s="347" t="s">
        <v>56</v>
      </c>
      <c r="L11" s="357"/>
      <c r="M11" s="137">
        <v>50000</v>
      </c>
      <c r="N11" s="357"/>
      <c r="O11" s="357"/>
      <c r="P11" s="357"/>
    </row>
    <row r="12" spans="2:16">
      <c r="C12" s="145"/>
      <c r="D12" s="145"/>
      <c r="E12" s="145"/>
      <c r="F12" s="137"/>
      <c r="G12" s="137"/>
      <c r="L12" s="357"/>
      <c r="M12" s="137">
        <v>50000</v>
      </c>
      <c r="N12" s="357"/>
      <c r="O12" s="357"/>
      <c r="P12" s="357"/>
    </row>
    <row r="13" spans="2:16">
      <c r="C13" s="145"/>
      <c r="D13" s="145"/>
      <c r="E13" s="145"/>
      <c r="F13" s="137"/>
      <c r="G13" s="137"/>
      <c r="M13" s="137">
        <v>50000</v>
      </c>
    </row>
    <row r="14" spans="2:16">
      <c r="B14" s="554" t="s">
        <v>57</v>
      </c>
      <c r="C14" s="145"/>
      <c r="D14" s="145" t="s">
        <v>58</v>
      </c>
      <c r="E14" s="145"/>
      <c r="F14" s="348" t="s">
        <v>87</v>
      </c>
      <c r="G14" s="348" t="s">
        <v>88</v>
      </c>
      <c r="H14" s="20" t="s">
        <v>89</v>
      </c>
      <c r="M14" s="137">
        <v>50000</v>
      </c>
    </row>
    <row r="15" spans="2:16" ht="15" customHeight="1">
      <c r="B15" s="554">
        <v>43074</v>
      </c>
      <c r="C15" s="145"/>
      <c r="D15" s="168" t="s">
        <v>614</v>
      </c>
      <c r="E15" s="145"/>
      <c r="F15" s="137">
        <v>500000</v>
      </c>
      <c r="G15" s="137"/>
      <c r="H15" s="21">
        <f>F15-G15</f>
        <v>500000</v>
      </c>
      <c r="M15" s="137">
        <v>100000</v>
      </c>
    </row>
    <row r="16" spans="2:16" ht="15" customHeight="1">
      <c r="B16" s="554">
        <v>43102</v>
      </c>
      <c r="C16" s="145"/>
      <c r="D16" s="168" t="s">
        <v>993</v>
      </c>
      <c r="E16" s="145"/>
      <c r="F16" s="137">
        <v>50000</v>
      </c>
      <c r="G16" s="137"/>
      <c r="H16" s="21">
        <f>H15+F16-G16</f>
        <v>550000</v>
      </c>
      <c r="M16" s="137">
        <v>50000</v>
      </c>
    </row>
    <row r="17" spans="2:13" ht="15" customHeight="1">
      <c r="B17" s="554">
        <v>43157</v>
      </c>
      <c r="C17" s="145"/>
      <c r="D17" s="168" t="s">
        <v>993</v>
      </c>
      <c r="E17" s="145"/>
      <c r="F17" s="137">
        <v>50000</v>
      </c>
      <c r="G17" s="137"/>
      <c r="H17" s="21">
        <f t="shared" ref="H17:H46" si="0">H16+F17-G17</f>
        <v>600000</v>
      </c>
      <c r="M17" s="137">
        <v>50000</v>
      </c>
    </row>
    <row r="18" spans="2:13" ht="15" customHeight="1">
      <c r="B18" s="554">
        <v>43166</v>
      </c>
      <c r="C18" s="145"/>
      <c r="D18" s="168" t="s">
        <v>993</v>
      </c>
      <c r="E18" s="145"/>
      <c r="F18" s="137">
        <v>50000</v>
      </c>
      <c r="G18" s="137"/>
      <c r="H18" s="21">
        <f t="shared" si="0"/>
        <v>650000</v>
      </c>
      <c r="M18" s="137">
        <v>50000</v>
      </c>
    </row>
    <row r="19" spans="2:13" ht="15" customHeight="1">
      <c r="B19" s="554">
        <v>43196</v>
      </c>
      <c r="C19" s="145"/>
      <c r="D19" s="168" t="s">
        <v>993</v>
      </c>
      <c r="E19" s="145"/>
      <c r="F19" s="137">
        <v>50000</v>
      </c>
      <c r="G19" s="137"/>
      <c r="H19" s="21">
        <f t="shared" si="0"/>
        <v>700000</v>
      </c>
      <c r="M19" s="137">
        <v>150000</v>
      </c>
    </row>
    <row r="20" spans="2:13" ht="15" customHeight="1">
      <c r="B20" s="554">
        <v>43224</v>
      </c>
      <c r="C20" s="145"/>
      <c r="D20" s="168" t="s">
        <v>993</v>
      </c>
      <c r="E20" s="145"/>
      <c r="F20" s="137">
        <v>50000</v>
      </c>
      <c r="G20" s="137"/>
      <c r="H20" s="21">
        <f t="shared" si="0"/>
        <v>750000</v>
      </c>
      <c r="M20" s="137">
        <v>50000</v>
      </c>
    </row>
    <row r="21" spans="2:13" ht="15" customHeight="1">
      <c r="B21" s="554">
        <v>43254</v>
      </c>
      <c r="C21" s="145"/>
      <c r="D21" s="168" t="s">
        <v>993</v>
      </c>
      <c r="E21" s="145"/>
      <c r="F21" s="137">
        <v>50000</v>
      </c>
      <c r="G21" s="137"/>
      <c r="H21" s="21">
        <f t="shared" si="0"/>
        <v>800000</v>
      </c>
      <c r="M21" s="137">
        <v>50000</v>
      </c>
    </row>
    <row r="22" spans="2:13" ht="15" customHeight="1">
      <c r="B22" s="554">
        <v>43292</v>
      </c>
      <c r="C22" s="145"/>
      <c r="D22" s="168" t="s">
        <v>993</v>
      </c>
      <c r="E22" s="145"/>
      <c r="F22" s="137">
        <v>50000</v>
      </c>
      <c r="G22" s="137"/>
      <c r="H22" s="21">
        <f t="shared" si="0"/>
        <v>850000</v>
      </c>
      <c r="M22" s="137">
        <v>50000</v>
      </c>
    </row>
    <row r="23" spans="2:13" ht="15" customHeight="1">
      <c r="B23" s="554">
        <v>43315</v>
      </c>
      <c r="C23" s="145"/>
      <c r="D23" s="168" t="s">
        <v>993</v>
      </c>
      <c r="E23" s="145"/>
      <c r="F23" s="137">
        <v>50000</v>
      </c>
      <c r="G23" s="137"/>
      <c r="H23" s="21">
        <f t="shared" si="0"/>
        <v>900000</v>
      </c>
      <c r="M23" s="137">
        <v>50000</v>
      </c>
    </row>
    <row r="24" spans="2:13" ht="15" customHeight="1">
      <c r="B24" s="554">
        <v>43350</v>
      </c>
      <c r="C24" s="145"/>
      <c r="D24" s="168" t="s">
        <v>993</v>
      </c>
      <c r="E24" s="145"/>
      <c r="F24" s="137">
        <v>50000</v>
      </c>
      <c r="G24" s="137"/>
      <c r="H24" s="21">
        <f t="shared" si="0"/>
        <v>950000</v>
      </c>
      <c r="M24" s="137">
        <v>50000</v>
      </c>
    </row>
    <row r="25" spans="2:13" ht="15" customHeight="1">
      <c r="B25" s="554">
        <v>43375</v>
      </c>
      <c r="C25" s="145"/>
      <c r="D25" s="168" t="s">
        <v>993</v>
      </c>
      <c r="E25" s="145"/>
      <c r="F25" s="137">
        <v>50000</v>
      </c>
      <c r="G25" s="137"/>
      <c r="H25" s="21">
        <f t="shared" si="0"/>
        <v>1000000</v>
      </c>
      <c r="M25" s="137">
        <v>100000</v>
      </c>
    </row>
    <row r="26" spans="2:13" ht="15" customHeight="1">
      <c r="B26" s="554">
        <v>43408</v>
      </c>
      <c r="C26" s="145"/>
      <c r="D26" s="168" t="s">
        <v>993</v>
      </c>
      <c r="E26" s="145"/>
      <c r="F26" s="137">
        <v>50000</v>
      </c>
      <c r="G26" s="137"/>
      <c r="H26" s="21">
        <f t="shared" si="0"/>
        <v>1050000</v>
      </c>
      <c r="M26" s="137">
        <v>50000</v>
      </c>
    </row>
    <row r="27" spans="2:13" ht="15" customHeight="1">
      <c r="B27" s="554">
        <v>43449</v>
      </c>
      <c r="C27" s="145"/>
      <c r="D27" s="168" t="s">
        <v>993</v>
      </c>
      <c r="E27" s="145"/>
      <c r="F27" s="137">
        <v>50000</v>
      </c>
      <c r="G27" s="137"/>
      <c r="H27" s="21">
        <f t="shared" si="0"/>
        <v>1100000</v>
      </c>
      <c r="M27" s="137">
        <v>50000</v>
      </c>
    </row>
    <row r="28" spans="2:13" ht="15" customHeight="1">
      <c r="B28" s="554">
        <v>43465</v>
      </c>
      <c r="C28" s="145"/>
      <c r="D28" s="168" t="s">
        <v>393</v>
      </c>
      <c r="E28" s="145"/>
      <c r="F28" s="291">
        <v>98761.13105906939</v>
      </c>
      <c r="G28" s="137"/>
      <c r="H28" s="21">
        <f t="shared" si="0"/>
        <v>1198761.1310590694</v>
      </c>
      <c r="M28" s="137">
        <v>50000</v>
      </c>
    </row>
    <row r="29" spans="2:13" ht="15" customHeight="1">
      <c r="B29" s="554">
        <v>43498</v>
      </c>
      <c r="C29" s="145"/>
      <c r="D29" s="168" t="s">
        <v>993</v>
      </c>
      <c r="E29" s="145"/>
      <c r="F29" s="137">
        <v>100000</v>
      </c>
      <c r="G29" s="137"/>
      <c r="H29" s="21">
        <f t="shared" si="0"/>
        <v>1298761.1310590694</v>
      </c>
      <c r="M29" s="137">
        <v>50000</v>
      </c>
    </row>
    <row r="30" spans="2:13" ht="15" customHeight="1">
      <c r="B30" s="554">
        <v>43528</v>
      </c>
      <c r="C30" s="145"/>
      <c r="D30" s="168" t="s">
        <v>993</v>
      </c>
      <c r="E30" s="145"/>
      <c r="F30" s="137">
        <v>50000</v>
      </c>
      <c r="G30" s="137"/>
      <c r="H30" s="21">
        <f t="shared" si="0"/>
        <v>1348761.1310590694</v>
      </c>
      <c r="M30" s="21">
        <v>100000</v>
      </c>
    </row>
    <row r="31" spans="2:13" ht="15" customHeight="1">
      <c r="B31" s="554">
        <v>43576</v>
      </c>
      <c r="C31" s="145"/>
      <c r="D31" s="168" t="s">
        <v>993</v>
      </c>
      <c r="E31" s="145"/>
      <c r="F31" s="137">
        <v>50000</v>
      </c>
      <c r="G31" s="137"/>
      <c r="H31" s="21">
        <f t="shared" si="0"/>
        <v>1398761.1310590694</v>
      </c>
      <c r="M31" s="21"/>
    </row>
    <row r="32" spans="2:13" ht="15" customHeight="1">
      <c r="B32" s="554">
        <v>43591</v>
      </c>
      <c r="C32" s="145"/>
      <c r="D32" s="168" t="s">
        <v>993</v>
      </c>
      <c r="E32" s="145"/>
      <c r="F32" s="137">
        <v>50000</v>
      </c>
      <c r="G32" s="137"/>
      <c r="H32" s="21">
        <f t="shared" si="0"/>
        <v>1448761.1310590694</v>
      </c>
    </row>
    <row r="33" spans="2:8" ht="15" customHeight="1">
      <c r="B33" s="554">
        <v>43677</v>
      </c>
      <c r="C33" s="145"/>
      <c r="D33" s="168" t="s">
        <v>993</v>
      </c>
      <c r="E33" s="145"/>
      <c r="F33" s="137">
        <v>150000</v>
      </c>
      <c r="G33" s="137"/>
      <c r="H33" s="21">
        <f t="shared" si="0"/>
        <v>1598761.1310590694</v>
      </c>
    </row>
    <row r="34" spans="2:8" ht="15" customHeight="1">
      <c r="B34" s="554">
        <v>43721</v>
      </c>
      <c r="C34" s="145"/>
      <c r="D34" s="168" t="s">
        <v>993</v>
      </c>
      <c r="E34" s="145"/>
      <c r="F34" s="137">
        <v>50000</v>
      </c>
      <c r="G34" s="137"/>
      <c r="H34" s="21">
        <f t="shared" si="0"/>
        <v>1648761.1310590694</v>
      </c>
    </row>
    <row r="35" spans="2:8" ht="15" customHeight="1">
      <c r="B35" s="554">
        <v>43746</v>
      </c>
      <c r="C35" s="145"/>
      <c r="D35" s="168" t="s">
        <v>993</v>
      </c>
      <c r="E35" s="145"/>
      <c r="F35" s="137">
        <v>50000</v>
      </c>
      <c r="G35" s="137"/>
      <c r="H35" s="21">
        <f t="shared" si="0"/>
        <v>1698761.1310590694</v>
      </c>
    </row>
    <row r="36" spans="2:8" ht="15" customHeight="1">
      <c r="B36" s="554">
        <v>43779</v>
      </c>
      <c r="C36" s="145"/>
      <c r="D36" s="168" t="s">
        <v>993</v>
      </c>
      <c r="E36" s="145"/>
      <c r="F36" s="137">
        <v>50000</v>
      </c>
      <c r="G36" s="137"/>
      <c r="H36" s="21">
        <f t="shared" si="0"/>
        <v>1748761.1310590694</v>
      </c>
    </row>
    <row r="37" spans="2:8" ht="15" customHeight="1">
      <c r="B37" s="554">
        <v>43823</v>
      </c>
      <c r="C37" s="145"/>
      <c r="D37" s="168" t="s">
        <v>993</v>
      </c>
      <c r="E37" s="145"/>
      <c r="F37" s="137">
        <v>50000</v>
      </c>
      <c r="G37" s="137"/>
      <c r="H37" s="21">
        <f t="shared" si="0"/>
        <v>1798761.1310590694</v>
      </c>
    </row>
    <row r="38" spans="2:8" ht="15" customHeight="1">
      <c r="B38" s="554">
        <v>43830</v>
      </c>
      <c r="C38" s="145"/>
      <c r="D38" s="168"/>
      <c r="E38" s="145"/>
      <c r="F38" s="156">
        <v>81069.963207857974</v>
      </c>
      <c r="G38" s="137"/>
      <c r="H38" s="21">
        <f t="shared" si="0"/>
        <v>1879831.0942669273</v>
      </c>
    </row>
    <row r="39" spans="2:8" ht="15" customHeight="1">
      <c r="B39" s="554">
        <v>43851</v>
      </c>
      <c r="C39" s="145"/>
      <c r="D39" s="168" t="s">
        <v>993</v>
      </c>
      <c r="E39" s="145"/>
      <c r="F39" s="137">
        <v>50000</v>
      </c>
      <c r="G39" s="137"/>
      <c r="H39" s="21">
        <f t="shared" si="0"/>
        <v>1929831.0942669273</v>
      </c>
    </row>
    <row r="40" spans="2:8" ht="15" customHeight="1">
      <c r="B40" s="554">
        <v>43900</v>
      </c>
      <c r="C40" s="145"/>
      <c r="D40" s="168" t="s">
        <v>993</v>
      </c>
      <c r="E40" s="145"/>
      <c r="F40" s="137">
        <v>100000</v>
      </c>
      <c r="G40" s="137"/>
      <c r="H40" s="21">
        <f t="shared" si="0"/>
        <v>2029831.0942669273</v>
      </c>
    </row>
    <row r="41" spans="2:8" ht="15" customHeight="1">
      <c r="B41" s="554">
        <v>43931</v>
      </c>
      <c r="C41" s="145"/>
      <c r="D41" s="168" t="s">
        <v>993</v>
      </c>
      <c r="E41" s="145"/>
      <c r="F41" s="137">
        <v>50000</v>
      </c>
      <c r="G41" s="137"/>
      <c r="H41" s="21">
        <f t="shared" si="0"/>
        <v>2079831.0942669273</v>
      </c>
    </row>
    <row r="42" spans="2:8" ht="15" customHeight="1">
      <c r="B42" s="554">
        <v>43981</v>
      </c>
      <c r="C42" s="145"/>
      <c r="D42" s="168" t="s">
        <v>993</v>
      </c>
      <c r="E42" s="145"/>
      <c r="F42" s="137">
        <v>50000</v>
      </c>
      <c r="G42" s="137"/>
      <c r="H42" s="21">
        <f t="shared" si="0"/>
        <v>2129831.0942669273</v>
      </c>
    </row>
    <row r="43" spans="2:8" ht="15" customHeight="1">
      <c r="B43" s="554">
        <v>43987</v>
      </c>
      <c r="C43" s="145"/>
      <c r="D43" s="168" t="s">
        <v>993</v>
      </c>
      <c r="E43" s="145"/>
      <c r="F43" s="137">
        <v>50000</v>
      </c>
      <c r="G43" s="137"/>
      <c r="H43" s="21">
        <f t="shared" si="0"/>
        <v>2179831.0942669273</v>
      </c>
    </row>
    <row r="44" spans="2:8" ht="15" customHeight="1">
      <c r="B44" s="554">
        <v>44041</v>
      </c>
      <c r="C44" s="145"/>
      <c r="D44" s="168" t="s">
        <v>993</v>
      </c>
      <c r="E44" s="145"/>
      <c r="F44" s="137">
        <v>50000</v>
      </c>
      <c r="G44" s="137"/>
      <c r="H44" s="21">
        <f t="shared" si="0"/>
        <v>2229831.0942669273</v>
      </c>
    </row>
    <row r="45" spans="2:8" ht="15" customHeight="1">
      <c r="B45" s="554">
        <v>44081</v>
      </c>
      <c r="D45" s="168" t="s">
        <v>993</v>
      </c>
      <c r="F45" s="21">
        <v>100000</v>
      </c>
      <c r="H45" s="21">
        <f t="shared" si="0"/>
        <v>2329831.0942669273</v>
      </c>
    </row>
    <row r="46" spans="2:8">
      <c r="B46" s="554">
        <v>44112</v>
      </c>
      <c r="D46" s="168" t="s">
        <v>1162</v>
      </c>
      <c r="G46" s="21">
        <v>2329831.0942669273</v>
      </c>
      <c r="H46" s="21">
        <f t="shared" si="0"/>
        <v>0</v>
      </c>
    </row>
    <row r="49" spans="2:16" ht="15" customHeight="1">
      <c r="B49"/>
      <c r="D49" s="468" t="s">
        <v>307</v>
      </c>
      <c r="E49" s="145"/>
      <c r="F49" s="632">
        <f>SUM(F15:F48)</f>
        <v>2329831.0942669273</v>
      </c>
      <c r="G49" s="632">
        <f>SUM(G15:G48)</f>
        <v>2329831.0942669273</v>
      </c>
      <c r="H49" s="137">
        <f>F49-G49</f>
        <v>0</v>
      </c>
      <c r="L49" s="92">
        <f>SUM(L3:L11)</f>
        <v>500000</v>
      </c>
      <c r="M49" s="156">
        <f>SUM(M3:M48)</f>
        <v>1650000</v>
      </c>
      <c r="N49" s="92">
        <f>SUM(N3:N45)</f>
        <v>0</v>
      </c>
      <c r="O49" s="92">
        <f>SUM(O3:O11)</f>
        <v>0</v>
      </c>
      <c r="P49" s="92">
        <f>SUM(P3:P11)</f>
        <v>0</v>
      </c>
    </row>
    <row r="50" spans="2:16">
      <c r="P50" s="92">
        <f>SUM(L49:P49)</f>
        <v>2150000</v>
      </c>
    </row>
    <row r="51" spans="2:16">
      <c r="D51" s="168" t="s">
        <v>1162</v>
      </c>
      <c r="G51" s="21">
        <v>2329831.0942669273</v>
      </c>
    </row>
    <row r="52" spans="2:16">
      <c r="D52" t="s">
        <v>1080</v>
      </c>
      <c r="G52" s="370">
        <v>2330000</v>
      </c>
    </row>
    <row r="53" spans="2:16" ht="19.5">
      <c r="D53" t="s">
        <v>1163</v>
      </c>
      <c r="E53" s="633" t="s">
        <v>1164</v>
      </c>
      <c r="F53" s="634"/>
      <c r="G53" s="634"/>
    </row>
    <row r="55" spans="2:16">
      <c r="G55" s="307" t="s">
        <v>1160</v>
      </c>
      <c r="L55"/>
      <c r="M55" s="291"/>
      <c r="N55"/>
      <c r="O55"/>
      <c r="P55" s="344"/>
    </row>
    <row r="56" spans="2:16">
      <c r="B56" s="55" t="s">
        <v>1078</v>
      </c>
      <c r="G56" s="307" t="s">
        <v>1076</v>
      </c>
      <c r="L56" s="342"/>
      <c r="M56" s="342"/>
      <c r="N56" s="342"/>
      <c r="O56" s="342"/>
      <c r="P56" s="342"/>
    </row>
    <row r="60" spans="2:16">
      <c r="B60" s="598" t="s">
        <v>1079</v>
      </c>
      <c r="C60" s="26"/>
      <c r="D60" s="26"/>
      <c r="E60" s="26"/>
      <c r="F60" s="370"/>
      <c r="G60" s="24" t="s">
        <v>1161</v>
      </c>
      <c r="H60" s="370"/>
    </row>
  </sheetData>
  <mergeCells count="2">
    <mergeCell ref="L1:P1"/>
    <mergeCell ref="C6:E6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F0"/>
  </sheetPr>
  <dimension ref="B1:P68"/>
  <sheetViews>
    <sheetView topLeftCell="A37" workbookViewId="0">
      <selection activeCell="F59" sqref="F59"/>
    </sheetView>
  </sheetViews>
  <sheetFormatPr defaultRowHeight="12.75"/>
  <cols>
    <col min="1" max="1" width="0.140625" style="30" customWidth="1"/>
    <col min="2" max="2" width="11.28515625" style="29" customWidth="1"/>
    <col min="3" max="3" width="2.28515625" style="30" customWidth="1"/>
    <col min="4" max="4" width="9.140625" style="30"/>
    <col min="5" max="5" width="10.42578125" style="30" customWidth="1"/>
    <col min="6" max="6" width="12.42578125" style="31" customWidth="1"/>
    <col min="7" max="7" width="12.28515625" style="31" customWidth="1"/>
    <col min="8" max="8" width="13.7109375" style="31" customWidth="1"/>
    <col min="9" max="9" width="5" style="30" customWidth="1"/>
    <col min="10" max="11" width="9.140625" style="30"/>
    <col min="12" max="14" width="14.140625" style="156" customWidth="1"/>
    <col min="15" max="15" width="14.140625" style="30" customWidth="1"/>
    <col min="16" max="16" width="17.140625" style="30" customWidth="1"/>
    <col min="17" max="16384" width="9.140625" style="30"/>
  </cols>
  <sheetData>
    <row r="1" spans="2:16" s="55" customFormat="1">
      <c r="B1" s="54" t="s">
        <v>49</v>
      </c>
      <c r="C1" s="55" t="s">
        <v>3</v>
      </c>
      <c r="D1" s="26" t="s">
        <v>253</v>
      </c>
      <c r="F1" s="66"/>
      <c r="G1" s="307" t="s">
        <v>60</v>
      </c>
      <c r="H1" s="66"/>
      <c r="L1" s="682" t="s">
        <v>337</v>
      </c>
      <c r="M1" s="682"/>
      <c r="N1" s="682"/>
      <c r="O1" s="682"/>
      <c r="P1" s="682"/>
    </row>
    <row r="2" spans="2:16" s="55" customFormat="1">
      <c r="B2" s="54" t="s">
        <v>50</v>
      </c>
      <c r="C2" s="55" t="s">
        <v>3</v>
      </c>
      <c r="D2" s="308" t="s">
        <v>133</v>
      </c>
      <c r="F2" s="66"/>
      <c r="G2" s="307" t="s">
        <v>53</v>
      </c>
      <c r="H2" s="66"/>
      <c r="L2" s="315" t="s">
        <v>338</v>
      </c>
      <c r="M2" s="315" t="s">
        <v>339</v>
      </c>
      <c r="N2" s="315" t="s">
        <v>340</v>
      </c>
      <c r="O2" s="163" t="s">
        <v>393</v>
      </c>
      <c r="P2" s="163" t="s">
        <v>341</v>
      </c>
    </row>
    <row r="3" spans="2:16" s="55" customFormat="1">
      <c r="B3" s="54" t="s">
        <v>11</v>
      </c>
      <c r="C3" s="55" t="s">
        <v>3</v>
      </c>
      <c r="D3" s="25" t="s">
        <v>258</v>
      </c>
      <c r="F3" s="66"/>
      <c r="G3" s="307" t="s">
        <v>61</v>
      </c>
      <c r="H3" s="66" t="s">
        <v>256</v>
      </c>
      <c r="L3" s="313">
        <f>F15</f>
        <v>200000</v>
      </c>
      <c r="M3" s="313">
        <f>F16</f>
        <v>80000</v>
      </c>
      <c r="N3" s="313">
        <f>F18</f>
        <v>10000</v>
      </c>
      <c r="O3" s="309">
        <v>77974.24347334374</v>
      </c>
    </row>
    <row r="4" spans="2:16" s="55" customFormat="1">
      <c r="B4" s="54"/>
      <c r="D4" s="55" t="s">
        <v>52</v>
      </c>
      <c r="F4" s="66"/>
      <c r="G4" s="307" t="s">
        <v>259</v>
      </c>
      <c r="H4" s="66"/>
      <c r="L4" s="313">
        <f>F24</f>
        <v>100000</v>
      </c>
      <c r="M4" s="313">
        <f>F17</f>
        <v>40000</v>
      </c>
      <c r="N4" s="313">
        <f>F22</f>
        <v>5000</v>
      </c>
      <c r="O4" s="433">
        <v>-50000</v>
      </c>
    </row>
    <row r="5" spans="2:16" s="55" customFormat="1">
      <c r="B5" s="54"/>
      <c r="F5" s="66"/>
      <c r="G5" s="307"/>
      <c r="H5" s="66"/>
      <c r="L5" s="313">
        <v>200000</v>
      </c>
      <c r="M5" s="313">
        <f>F19</f>
        <v>40000</v>
      </c>
      <c r="N5" s="313">
        <f>F27</f>
        <v>8000</v>
      </c>
      <c r="O5" s="309">
        <v>108218.2429623762</v>
      </c>
    </row>
    <row r="6" spans="2:16" s="55" customFormat="1">
      <c r="B6" s="54"/>
      <c r="F6" s="66"/>
      <c r="G6" s="307" t="s">
        <v>260</v>
      </c>
      <c r="H6" s="66"/>
      <c r="L6" s="313"/>
      <c r="M6" s="313">
        <f>F20</f>
        <v>60000</v>
      </c>
      <c r="N6" s="313">
        <f>F30</f>
        <v>43750</v>
      </c>
      <c r="O6" s="309">
        <v>-108000</v>
      </c>
    </row>
    <row r="7" spans="2:16" s="55" customFormat="1">
      <c r="B7" s="54"/>
      <c r="F7" s="66"/>
      <c r="G7" s="24" t="s">
        <v>55</v>
      </c>
      <c r="H7" s="66"/>
      <c r="L7" s="313"/>
      <c r="M7" s="313">
        <f>F21</f>
        <v>20000</v>
      </c>
      <c r="N7" s="313">
        <f>F33</f>
        <v>18750</v>
      </c>
      <c r="O7" s="309">
        <v>59410.39141884524</v>
      </c>
    </row>
    <row r="8" spans="2:16" s="55" customFormat="1">
      <c r="B8" s="54"/>
      <c r="F8" s="66"/>
      <c r="G8" s="307"/>
      <c r="H8" s="66"/>
      <c r="L8" s="313"/>
      <c r="M8" s="313">
        <f>F25</f>
        <v>25000</v>
      </c>
      <c r="N8" s="313">
        <f>F35+1750</f>
        <v>45500</v>
      </c>
      <c r="O8" s="309">
        <v>47451.527128190086</v>
      </c>
    </row>
    <row r="9" spans="2:16" s="55" customFormat="1">
      <c r="B9" s="54"/>
      <c r="F9" s="66"/>
      <c r="G9" s="66"/>
      <c r="H9" s="66"/>
      <c r="L9" s="313"/>
      <c r="M9" s="313">
        <f>F26</f>
        <v>25000</v>
      </c>
      <c r="N9" s="313">
        <f>F37</f>
        <v>18500</v>
      </c>
      <c r="O9" s="318">
        <v>81522.815642623347</v>
      </c>
    </row>
    <row r="10" spans="2:16" s="55" customFormat="1">
      <c r="B10" s="54"/>
      <c r="F10" s="66"/>
      <c r="G10" s="66"/>
      <c r="H10" s="66"/>
      <c r="L10" s="313"/>
      <c r="M10" s="313">
        <f>F28</f>
        <v>25000</v>
      </c>
      <c r="N10" s="313">
        <f>F38</f>
        <v>19000</v>
      </c>
      <c r="O10" s="309">
        <v>-200000</v>
      </c>
    </row>
    <row r="11" spans="2:16" s="55" customFormat="1">
      <c r="B11" s="54"/>
      <c r="F11" s="66"/>
      <c r="G11" s="307" t="s">
        <v>56</v>
      </c>
      <c r="H11" s="66"/>
      <c r="L11" s="313"/>
      <c r="M11" s="313">
        <f>F29</f>
        <v>25000</v>
      </c>
      <c r="N11" s="433">
        <v>-150000</v>
      </c>
    </row>
    <row r="12" spans="2:16" s="55" customFormat="1">
      <c r="B12" s="54"/>
      <c r="F12" s="66"/>
      <c r="G12" s="66"/>
      <c r="H12" s="66"/>
      <c r="L12" s="313"/>
      <c r="M12" s="313">
        <v>25000</v>
      </c>
      <c r="N12" s="313">
        <f>F42</f>
        <v>92000</v>
      </c>
    </row>
    <row r="13" spans="2:16" s="55" customFormat="1">
      <c r="B13" s="54"/>
      <c r="F13" s="66"/>
      <c r="G13" s="66"/>
      <c r="H13" s="66"/>
      <c r="L13" s="313"/>
      <c r="M13" s="313">
        <f>F32</f>
        <v>50000</v>
      </c>
      <c r="N13" s="313">
        <v>20000</v>
      </c>
    </row>
    <row r="14" spans="2:16" s="55" customFormat="1">
      <c r="B14" s="54" t="s">
        <v>57</v>
      </c>
      <c r="D14" s="55" t="s">
        <v>58</v>
      </c>
      <c r="F14" s="310" t="s">
        <v>87</v>
      </c>
      <c r="G14" s="310" t="s">
        <v>88</v>
      </c>
      <c r="H14" s="310" t="s">
        <v>89</v>
      </c>
      <c r="L14" s="313"/>
      <c r="M14" s="313">
        <f>F34</f>
        <v>25000</v>
      </c>
      <c r="N14" s="313">
        <v>50000</v>
      </c>
    </row>
    <row r="15" spans="2:16" s="55" customFormat="1" ht="15" customHeight="1">
      <c r="B15" s="54">
        <v>40698</v>
      </c>
      <c r="D15" s="55" t="s">
        <v>59</v>
      </c>
      <c r="F15" s="66">
        <v>200000</v>
      </c>
      <c r="G15" s="311"/>
      <c r="H15" s="66">
        <f>F15-G15</f>
        <v>200000</v>
      </c>
      <c r="L15" s="313"/>
      <c r="M15" s="313">
        <f>F39</f>
        <v>25000</v>
      </c>
      <c r="N15" s="313">
        <f>F23</f>
        <v>111250</v>
      </c>
    </row>
    <row r="16" spans="2:16" s="55" customFormat="1" ht="15" customHeight="1">
      <c r="B16" s="54">
        <v>40698</v>
      </c>
      <c r="D16" s="55" t="s">
        <v>261</v>
      </c>
      <c r="F16" s="66">
        <v>80000</v>
      </c>
      <c r="G16" s="66"/>
      <c r="H16" s="66">
        <f t="shared" ref="H16:H56" si="0">H15+F16-G16</f>
        <v>280000</v>
      </c>
      <c r="L16" s="313"/>
      <c r="M16" s="313">
        <f>F40</f>
        <v>25000</v>
      </c>
      <c r="N16" s="433">
        <v>-100000</v>
      </c>
    </row>
    <row r="17" spans="2:14" s="55" customFormat="1" ht="15" customHeight="1">
      <c r="B17" s="54">
        <v>40756</v>
      </c>
      <c r="D17" s="55" t="s">
        <v>281</v>
      </c>
      <c r="F17" s="66">
        <v>40000</v>
      </c>
      <c r="G17" s="66"/>
      <c r="H17" s="66">
        <f t="shared" si="0"/>
        <v>320000</v>
      </c>
      <c r="L17" s="313"/>
      <c r="M17" s="313">
        <v>25000</v>
      </c>
      <c r="N17" s="313"/>
    </row>
    <row r="18" spans="2:14" s="55" customFormat="1" ht="15" customHeight="1">
      <c r="B18" s="54">
        <v>40756</v>
      </c>
      <c r="D18" s="55" t="s">
        <v>282</v>
      </c>
      <c r="F18" s="66">
        <v>10000</v>
      </c>
      <c r="G18" s="66"/>
      <c r="H18" s="66">
        <f t="shared" si="0"/>
        <v>330000</v>
      </c>
      <c r="L18" s="313"/>
      <c r="M18" s="313">
        <v>25000</v>
      </c>
      <c r="N18" s="313"/>
    </row>
    <row r="19" spans="2:14" s="55" customFormat="1" ht="15" customHeight="1">
      <c r="B19" s="54">
        <v>40844</v>
      </c>
      <c r="D19" s="55" t="s">
        <v>286</v>
      </c>
      <c r="F19" s="66">
        <v>40000</v>
      </c>
      <c r="G19" s="66"/>
      <c r="H19" s="66">
        <f t="shared" si="0"/>
        <v>370000</v>
      </c>
      <c r="L19" s="313"/>
      <c r="M19" s="313">
        <v>25000</v>
      </c>
      <c r="N19" s="313"/>
    </row>
    <row r="20" spans="2:14" s="55" customFormat="1" ht="15" customHeight="1">
      <c r="B20" s="54">
        <v>41012</v>
      </c>
      <c r="D20" s="55" t="s">
        <v>316</v>
      </c>
      <c r="F20" s="66">
        <v>60000</v>
      </c>
      <c r="G20" s="66"/>
      <c r="H20" s="66">
        <f t="shared" si="0"/>
        <v>430000</v>
      </c>
      <c r="L20" s="313"/>
      <c r="M20" s="313">
        <v>25000</v>
      </c>
      <c r="N20" s="313"/>
    </row>
    <row r="21" spans="2:14" s="55" customFormat="1" ht="15" customHeight="1">
      <c r="B21" s="54">
        <v>41035</v>
      </c>
      <c r="D21" s="55" t="s">
        <v>321</v>
      </c>
      <c r="F21" s="66">
        <v>20000</v>
      </c>
      <c r="G21" s="66"/>
      <c r="H21" s="66">
        <f t="shared" si="0"/>
        <v>450000</v>
      </c>
      <c r="L21" s="313"/>
      <c r="M21" s="313">
        <v>50000</v>
      </c>
      <c r="N21" s="313"/>
    </row>
    <row r="22" spans="2:14" s="55" customFormat="1" ht="15" customHeight="1">
      <c r="B22" s="54">
        <v>41035</v>
      </c>
      <c r="D22" s="55" t="s">
        <v>282</v>
      </c>
      <c r="F22" s="66">
        <v>5000</v>
      </c>
      <c r="G22" s="66"/>
      <c r="H22" s="66">
        <f t="shared" si="0"/>
        <v>455000</v>
      </c>
      <c r="L22" s="313"/>
      <c r="M22" s="313">
        <v>200000</v>
      </c>
      <c r="N22" s="313"/>
    </row>
    <row r="23" spans="2:14" s="55" customFormat="1" ht="15" customHeight="1">
      <c r="B23" s="54">
        <v>41035</v>
      </c>
      <c r="D23" s="55" t="s">
        <v>322</v>
      </c>
      <c r="F23" s="66">
        <f>'[2]0006'!$H$35</f>
        <v>111250</v>
      </c>
      <c r="G23" s="66"/>
      <c r="H23" s="66">
        <f t="shared" si="0"/>
        <v>566250</v>
      </c>
      <c r="L23" s="313"/>
      <c r="M23" s="313"/>
      <c r="N23" s="313"/>
    </row>
    <row r="24" spans="2:14" s="55" customFormat="1" ht="15" customHeight="1">
      <c r="B24" s="54">
        <v>41063</v>
      </c>
      <c r="D24" s="55" t="s">
        <v>335</v>
      </c>
      <c r="F24" s="432">
        <v>100000</v>
      </c>
      <c r="G24" s="66"/>
      <c r="H24" s="66">
        <f t="shared" si="0"/>
        <v>666250</v>
      </c>
      <c r="L24" s="313"/>
      <c r="M24" s="313"/>
      <c r="N24" s="313"/>
    </row>
    <row r="25" spans="2:14" s="55" customFormat="1" ht="15" customHeight="1">
      <c r="B25" s="54">
        <v>41063</v>
      </c>
      <c r="D25" s="55" t="s">
        <v>336</v>
      </c>
      <c r="F25" s="66">
        <v>25000</v>
      </c>
      <c r="G25" s="66"/>
      <c r="H25" s="66">
        <f t="shared" si="0"/>
        <v>691250</v>
      </c>
      <c r="L25" s="313"/>
      <c r="M25" s="313"/>
      <c r="N25" s="313"/>
    </row>
    <row r="26" spans="2:14" s="55" customFormat="1" ht="15" customHeight="1">
      <c r="B26" s="54">
        <v>41096</v>
      </c>
      <c r="D26" s="55" t="s">
        <v>348</v>
      </c>
      <c r="F26" s="66">
        <v>25000</v>
      </c>
      <c r="G26" s="66"/>
      <c r="H26" s="66">
        <f t="shared" si="0"/>
        <v>716250</v>
      </c>
      <c r="L26" s="313"/>
      <c r="M26" s="313"/>
      <c r="N26" s="313"/>
    </row>
    <row r="27" spans="2:14" s="55" customFormat="1" ht="15" customHeight="1">
      <c r="B27" s="54">
        <v>41096</v>
      </c>
      <c r="D27" s="55" t="s">
        <v>282</v>
      </c>
      <c r="F27" s="66">
        <v>8000</v>
      </c>
      <c r="G27" s="66"/>
      <c r="H27" s="66">
        <f t="shared" si="0"/>
        <v>724250</v>
      </c>
      <c r="L27" s="313"/>
      <c r="M27" s="313"/>
      <c r="N27" s="313"/>
    </row>
    <row r="28" spans="2:14" s="55" customFormat="1" ht="15" customHeight="1">
      <c r="B28" s="54">
        <v>41122</v>
      </c>
      <c r="D28" s="55" t="s">
        <v>359</v>
      </c>
      <c r="F28" s="66">
        <v>25000</v>
      </c>
      <c r="G28" s="66"/>
      <c r="H28" s="66">
        <f t="shared" si="0"/>
        <v>749250</v>
      </c>
      <c r="L28" s="313"/>
      <c r="M28" s="313"/>
      <c r="N28" s="313"/>
    </row>
    <row r="29" spans="2:14" s="55" customFormat="1" ht="15" customHeight="1">
      <c r="B29" s="54">
        <v>41129</v>
      </c>
      <c r="D29" s="55" t="s">
        <v>365</v>
      </c>
      <c r="F29" s="66">
        <v>25000</v>
      </c>
      <c r="G29" s="66"/>
      <c r="H29" s="66">
        <f t="shared" si="0"/>
        <v>774250</v>
      </c>
      <c r="L29" s="313"/>
      <c r="M29" s="313"/>
      <c r="N29" s="313"/>
    </row>
    <row r="30" spans="2:14" s="55" customFormat="1" ht="15" customHeight="1">
      <c r="B30" s="54">
        <v>41129</v>
      </c>
      <c r="D30" s="55" t="s">
        <v>282</v>
      </c>
      <c r="F30" s="66">
        <v>43750</v>
      </c>
      <c r="G30" s="66"/>
      <c r="H30" s="66">
        <f t="shared" si="0"/>
        <v>818000</v>
      </c>
      <c r="L30" s="313"/>
      <c r="M30" s="313"/>
      <c r="N30" s="313"/>
    </row>
    <row r="31" spans="2:14" s="55" customFormat="1" ht="15" customHeight="1">
      <c r="B31" s="54">
        <v>41186</v>
      </c>
      <c r="D31" s="55" t="s">
        <v>286</v>
      </c>
      <c r="F31" s="66">
        <v>26750</v>
      </c>
      <c r="G31" s="66"/>
      <c r="H31" s="66">
        <f t="shared" si="0"/>
        <v>844750</v>
      </c>
      <c r="L31" s="313"/>
      <c r="M31" s="313"/>
      <c r="N31" s="313"/>
    </row>
    <row r="32" spans="2:14" s="55" customFormat="1" ht="15" customHeight="1">
      <c r="B32" s="54">
        <v>41221</v>
      </c>
      <c r="D32" s="55" t="s">
        <v>286</v>
      </c>
      <c r="F32" s="66">
        <v>50000</v>
      </c>
      <c r="G32" s="66"/>
      <c r="H32" s="66">
        <f t="shared" si="0"/>
        <v>894750</v>
      </c>
      <c r="L32" s="313"/>
      <c r="M32" s="313"/>
      <c r="N32" s="313"/>
    </row>
    <row r="33" spans="2:15" s="55" customFormat="1" ht="15" customHeight="1">
      <c r="B33" s="54">
        <v>41221</v>
      </c>
      <c r="D33" s="55" t="s">
        <v>282</v>
      </c>
      <c r="F33" s="66">
        <v>18750</v>
      </c>
      <c r="G33" s="66"/>
      <c r="H33" s="66">
        <f t="shared" si="0"/>
        <v>913500</v>
      </c>
      <c r="L33" s="313"/>
      <c r="M33" s="313"/>
      <c r="N33" s="313"/>
      <c r="O33" s="309"/>
    </row>
    <row r="34" spans="2:15" s="55" customFormat="1" ht="15" customHeight="1">
      <c r="B34" s="54">
        <v>41248</v>
      </c>
      <c r="D34" s="55" t="s">
        <v>286</v>
      </c>
      <c r="F34" s="66">
        <v>25000</v>
      </c>
      <c r="G34" s="66"/>
      <c r="H34" s="66">
        <f t="shared" si="0"/>
        <v>938500</v>
      </c>
      <c r="L34" s="313"/>
      <c r="M34" s="313"/>
      <c r="N34" s="313"/>
    </row>
    <row r="35" spans="2:15" s="55" customFormat="1" ht="15" customHeight="1">
      <c r="B35" s="54">
        <v>41248</v>
      </c>
      <c r="D35" s="55" t="s">
        <v>282</v>
      </c>
      <c r="F35" s="66">
        <v>43750</v>
      </c>
      <c r="G35" s="66"/>
      <c r="H35" s="66">
        <f t="shared" si="0"/>
        <v>982250</v>
      </c>
      <c r="L35" s="313"/>
      <c r="M35" s="313"/>
      <c r="N35" s="313"/>
    </row>
    <row r="36" spans="2:15" s="55" customFormat="1" ht="15" customHeight="1">
      <c r="B36" s="54">
        <v>41274</v>
      </c>
      <c r="D36" s="55" t="s">
        <v>392</v>
      </c>
      <c r="F36" s="66">
        <v>77974.24347334374</v>
      </c>
      <c r="G36" s="66"/>
      <c r="H36" s="66">
        <f t="shared" si="0"/>
        <v>1060224.2434733438</v>
      </c>
      <c r="L36" s="313"/>
      <c r="M36" s="313"/>
      <c r="N36" s="313"/>
    </row>
    <row r="37" spans="2:15" s="55" customFormat="1" ht="15" customHeight="1">
      <c r="B37" s="54">
        <v>41312</v>
      </c>
      <c r="D37" s="55" t="s">
        <v>282</v>
      </c>
      <c r="F37" s="66">
        <v>18500</v>
      </c>
      <c r="G37" s="66"/>
      <c r="H37" s="66">
        <f t="shared" si="0"/>
        <v>1078724.2434733438</v>
      </c>
      <c r="L37" s="313"/>
      <c r="M37" s="313"/>
      <c r="N37" s="313"/>
    </row>
    <row r="38" spans="2:15" s="55" customFormat="1" ht="15" customHeight="1">
      <c r="B38" s="54">
        <v>41341</v>
      </c>
      <c r="D38" s="55" t="s">
        <v>282</v>
      </c>
      <c r="F38" s="66">
        <v>19000</v>
      </c>
      <c r="G38" s="66"/>
      <c r="H38" s="66">
        <f t="shared" si="0"/>
        <v>1097724.2434733438</v>
      </c>
      <c r="L38" s="313"/>
      <c r="M38" s="313"/>
      <c r="N38" s="313"/>
    </row>
    <row r="39" spans="2:15" s="55" customFormat="1" ht="15" customHeight="1">
      <c r="B39" s="54">
        <v>41368</v>
      </c>
      <c r="D39" s="55" t="s">
        <v>286</v>
      </c>
      <c r="F39" s="66">
        <v>25000</v>
      </c>
      <c r="G39" s="66"/>
      <c r="H39" s="66">
        <f t="shared" si="0"/>
        <v>1122724.2434733438</v>
      </c>
      <c r="L39" s="313"/>
      <c r="M39" s="313"/>
      <c r="N39" s="313"/>
    </row>
    <row r="40" spans="2:15" s="55" customFormat="1" ht="15" customHeight="1">
      <c r="B40" s="54">
        <v>41462</v>
      </c>
      <c r="D40" s="55" t="s">
        <v>286</v>
      </c>
      <c r="F40" s="66">
        <v>25000</v>
      </c>
      <c r="G40" s="66"/>
      <c r="H40" s="66">
        <f t="shared" si="0"/>
        <v>1147724.2434733438</v>
      </c>
      <c r="L40" s="313"/>
      <c r="M40" s="313"/>
      <c r="N40" s="313"/>
    </row>
    <row r="41" spans="2:15" s="55" customFormat="1" ht="15" customHeight="1">
      <c r="B41" s="54">
        <v>41466</v>
      </c>
      <c r="D41" s="55" t="s">
        <v>459</v>
      </c>
      <c r="F41" s="66"/>
      <c r="G41" s="432">
        <v>300000</v>
      </c>
      <c r="H41" s="66">
        <f t="shared" si="0"/>
        <v>847724.24347334378</v>
      </c>
      <c r="L41" s="313"/>
      <c r="M41" s="313"/>
      <c r="N41" s="313"/>
    </row>
    <row r="42" spans="2:15" s="55" customFormat="1" ht="15" customHeight="1">
      <c r="B42" s="54">
        <v>41477</v>
      </c>
      <c r="D42" s="55" t="s">
        <v>282</v>
      </c>
      <c r="F42" s="66">
        <v>92000</v>
      </c>
      <c r="G42" s="66"/>
      <c r="H42" s="66">
        <f t="shared" si="0"/>
        <v>939724.24347334378</v>
      </c>
      <c r="L42" s="313"/>
      <c r="M42" s="313"/>
      <c r="N42" s="313"/>
    </row>
    <row r="43" spans="2:15" s="55" customFormat="1" ht="15" customHeight="1">
      <c r="B43" s="54">
        <v>41497</v>
      </c>
      <c r="D43" s="55" t="s">
        <v>286</v>
      </c>
      <c r="F43" s="66">
        <v>25000</v>
      </c>
      <c r="G43" s="66"/>
      <c r="H43" s="66">
        <f t="shared" si="0"/>
        <v>964724.24347334378</v>
      </c>
      <c r="L43" s="313"/>
      <c r="M43" s="313"/>
      <c r="N43" s="313"/>
    </row>
    <row r="44" spans="2:15" s="55" customFormat="1" ht="15" customHeight="1">
      <c r="B44" s="54">
        <v>41549</v>
      </c>
      <c r="D44" s="55" t="s">
        <v>286</v>
      </c>
      <c r="F44" s="66">
        <v>25000</v>
      </c>
      <c r="G44" s="66"/>
      <c r="H44" s="66">
        <f t="shared" si="0"/>
        <v>989724.24347334378</v>
      </c>
      <c r="L44" s="313"/>
      <c r="M44" s="313"/>
      <c r="N44" s="313"/>
    </row>
    <row r="45" spans="2:15" s="55" customFormat="1" ht="15" customHeight="1">
      <c r="B45" s="54">
        <v>41549</v>
      </c>
      <c r="D45" s="55" t="s">
        <v>282</v>
      </c>
      <c r="F45" s="66">
        <v>20000</v>
      </c>
      <c r="G45" s="66"/>
      <c r="H45" s="66">
        <f t="shared" si="0"/>
        <v>1009724.2434733438</v>
      </c>
      <c r="L45" s="313"/>
      <c r="M45" s="313"/>
      <c r="N45" s="313"/>
    </row>
    <row r="46" spans="2:15" s="55" customFormat="1">
      <c r="B46" s="54">
        <v>41580</v>
      </c>
      <c r="D46" s="55" t="s">
        <v>286</v>
      </c>
      <c r="F46" s="66">
        <v>25000</v>
      </c>
      <c r="G46" s="66"/>
      <c r="H46" s="66">
        <f t="shared" si="0"/>
        <v>1034724.2434733438</v>
      </c>
      <c r="L46" s="313"/>
      <c r="M46" s="313"/>
      <c r="N46" s="313"/>
    </row>
    <row r="47" spans="2:15" s="55" customFormat="1">
      <c r="B47" s="54">
        <v>41580</v>
      </c>
      <c r="D47" s="55" t="s">
        <v>282</v>
      </c>
      <c r="F47" s="66">
        <v>50000</v>
      </c>
      <c r="G47" s="66"/>
      <c r="H47" s="66">
        <f t="shared" si="0"/>
        <v>1084724.2434733438</v>
      </c>
      <c r="L47" s="313"/>
      <c r="M47" s="313"/>
      <c r="N47" s="313"/>
    </row>
    <row r="48" spans="2:15" s="55" customFormat="1">
      <c r="B48" s="54">
        <v>41612</v>
      </c>
      <c r="D48" s="55" t="s">
        <v>286</v>
      </c>
      <c r="F48" s="66">
        <v>25000</v>
      </c>
      <c r="G48" s="66"/>
      <c r="H48" s="66">
        <f t="shared" si="0"/>
        <v>1109724.2434733438</v>
      </c>
      <c r="L48" s="313"/>
      <c r="M48" s="313"/>
      <c r="N48" s="313"/>
    </row>
    <row r="49" spans="2:14" s="55" customFormat="1">
      <c r="B49" s="54">
        <v>41640</v>
      </c>
      <c r="D49" s="55" t="s">
        <v>499</v>
      </c>
      <c r="F49" s="66">
        <v>108218.2429623762</v>
      </c>
      <c r="G49" s="66"/>
      <c r="H49" s="66">
        <f t="shared" si="0"/>
        <v>1217942.48643572</v>
      </c>
      <c r="L49" s="313"/>
      <c r="M49" s="313"/>
      <c r="N49" s="313"/>
    </row>
    <row r="50" spans="2:14" s="55" customFormat="1">
      <c r="B50" s="54">
        <v>41640</v>
      </c>
      <c r="D50" s="55" t="s">
        <v>503</v>
      </c>
      <c r="F50" s="66"/>
      <c r="G50" s="66">
        <v>108000</v>
      </c>
      <c r="H50" s="66">
        <f t="shared" si="0"/>
        <v>1109942.48643572</v>
      </c>
      <c r="L50" s="313"/>
      <c r="M50" s="313"/>
      <c r="N50" s="313"/>
    </row>
    <row r="51" spans="2:14">
      <c r="B51" s="19">
        <v>41646</v>
      </c>
      <c r="D51" s="90" t="s">
        <v>510</v>
      </c>
      <c r="F51" s="31">
        <v>50000</v>
      </c>
      <c r="H51" s="66">
        <f>H52+F51-G51</f>
        <v>1219352.8778545652</v>
      </c>
    </row>
    <row r="52" spans="2:14" s="55" customFormat="1">
      <c r="B52" s="54">
        <v>42004</v>
      </c>
      <c r="D52" s="55" t="s">
        <v>592</v>
      </c>
      <c r="F52" s="161">
        <v>59410.39141884524</v>
      </c>
      <c r="G52" s="66"/>
      <c r="H52" s="66">
        <f>H50+F52-G52</f>
        <v>1169352.8778545652</v>
      </c>
      <c r="L52" s="313"/>
      <c r="M52" s="313"/>
      <c r="N52" s="313"/>
    </row>
    <row r="53" spans="2:14">
      <c r="B53" s="336">
        <v>42369</v>
      </c>
      <c r="D53" s="55" t="s">
        <v>694</v>
      </c>
      <c r="F53" s="161">
        <v>47451.527128190086</v>
      </c>
      <c r="H53" s="66">
        <f>H51+F53-G53</f>
        <v>1266804.4049827552</v>
      </c>
    </row>
    <row r="54" spans="2:14">
      <c r="B54" s="351">
        <v>42605</v>
      </c>
      <c r="C54" s="352" t="s">
        <v>773</v>
      </c>
      <c r="D54" s="325"/>
      <c r="E54" s="325"/>
      <c r="F54" s="326">
        <v>400000</v>
      </c>
      <c r="H54" s="66">
        <f t="shared" si="0"/>
        <v>1666804.4049827552</v>
      </c>
    </row>
    <row r="55" spans="2:14">
      <c r="B55" s="336">
        <v>42735</v>
      </c>
      <c r="D55" s="55" t="s">
        <v>732</v>
      </c>
      <c r="F55" s="31">
        <v>81522.815642623347</v>
      </c>
      <c r="H55" s="66">
        <f t="shared" si="0"/>
        <v>1748327.2206253787</v>
      </c>
    </row>
    <row r="56" spans="2:14">
      <c r="B56" s="29">
        <v>42917</v>
      </c>
      <c r="D56" s="90" t="s">
        <v>772</v>
      </c>
      <c r="G56" s="31">
        <v>200000</v>
      </c>
      <c r="H56" s="66">
        <f t="shared" si="0"/>
        <v>1548327.2206253787</v>
      </c>
    </row>
    <row r="57" spans="2:14">
      <c r="F57" s="30"/>
    </row>
    <row r="67" spans="4:16" ht="15" customHeight="1">
      <c r="D67" s="82" t="s">
        <v>307</v>
      </c>
      <c r="E67" s="83"/>
      <c r="F67" s="31">
        <f>SUM(F15:F65)</f>
        <v>2156327.2206253787</v>
      </c>
      <c r="G67" s="31">
        <f>SUM(G15:G65)</f>
        <v>608000</v>
      </c>
      <c r="H67" s="84">
        <f>F67-G67</f>
        <v>1548327.2206253787</v>
      </c>
      <c r="L67" s="313">
        <f>SUM(L3:L11)</f>
        <v>500000</v>
      </c>
      <c r="M67" s="313">
        <f>SUM(M3:M22)</f>
        <v>840000</v>
      </c>
      <c r="N67" s="313">
        <f>SUM(N3:N28)</f>
        <v>191750</v>
      </c>
      <c r="O67" s="309">
        <f>SUM(O3:O28)</f>
        <v>16577.220625378628</v>
      </c>
      <c r="P67" s="309">
        <f>SUM(P3:P11)</f>
        <v>0</v>
      </c>
    </row>
    <row r="68" spans="4:16">
      <c r="L68" s="313"/>
      <c r="M68" s="313"/>
      <c r="N68" s="313"/>
      <c r="O68" s="55"/>
      <c r="P68" s="309">
        <f>SUM(L67:P67)</f>
        <v>1548327.2206253787</v>
      </c>
    </row>
  </sheetData>
  <mergeCells count="1">
    <mergeCell ref="L1:P1"/>
  </mergeCells>
  <phoneticPr fontId="7" type="noConversion"/>
  <pageMargins left="0.23622047244094491" right="0.74803149606299213" top="0.59055118110236227" bottom="0.19685039370078741" header="0.27559055118110237" footer="0.51181102362204722"/>
  <pageSetup scale="75" orientation="landscape" horizontalDpi="4294967293" verticalDpi="0" r:id="rId1"/>
  <headerFooter alignWithMargins="0"/>
  <legacyDrawing r:id="rId2"/>
  <oleObjects>
    <oleObject progId="CorelDRAW.Graphic.11" shapeId="29697" r:id="rId3"/>
    <oleObject progId="CorelDRAW.Graphic.11" shapeId="29698" r:id="rId4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F0"/>
  </sheetPr>
  <dimension ref="B1:P56"/>
  <sheetViews>
    <sheetView topLeftCell="A13" zoomScale="70" zoomScaleNormal="70" workbookViewId="0">
      <selection activeCell="B30" sqref="B30:G31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16.8554687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3" width="14.140625" style="156" customWidth="1"/>
    <col min="14" max="14" width="14.140625" style="30" customWidth="1"/>
    <col min="15" max="15" width="14.140625" style="161" customWidth="1"/>
    <col min="16" max="16" width="17.140625" style="30" customWidth="1"/>
  </cols>
  <sheetData>
    <row r="1" spans="2:16">
      <c r="B1" s="19" t="s">
        <v>49</v>
      </c>
      <c r="C1" t="s">
        <v>3</v>
      </c>
      <c r="D1" t="s">
        <v>268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136</v>
      </c>
      <c r="G2" s="18" t="s">
        <v>53</v>
      </c>
      <c r="L2" s="155" t="s">
        <v>338</v>
      </c>
      <c r="M2" s="155" t="s">
        <v>339</v>
      </c>
      <c r="N2" s="91" t="s">
        <v>340</v>
      </c>
      <c r="O2" s="290" t="s">
        <v>393</v>
      </c>
      <c r="P2" s="91" t="s">
        <v>341</v>
      </c>
    </row>
    <row r="3" spans="2:16">
      <c r="B3" s="19" t="s">
        <v>11</v>
      </c>
      <c r="C3" t="s">
        <v>3</v>
      </c>
      <c r="D3" t="s">
        <v>265</v>
      </c>
      <c r="G3" s="18" t="s">
        <v>61</v>
      </c>
      <c r="H3" t="s">
        <v>269</v>
      </c>
      <c r="L3" s="156">
        <f>F15</f>
        <v>200000</v>
      </c>
      <c r="M3" s="156">
        <f>F16</f>
        <v>20000</v>
      </c>
      <c r="N3" s="92"/>
      <c r="O3" s="161">
        <v>23814.989098501523</v>
      </c>
      <c r="P3" s="92"/>
    </row>
    <row r="4" spans="2:16">
      <c r="D4" t="s">
        <v>52</v>
      </c>
      <c r="G4" s="18" t="s">
        <v>273</v>
      </c>
      <c r="L4" s="156">
        <v>300000</v>
      </c>
      <c r="M4" s="156">
        <f>F18</f>
        <v>20000</v>
      </c>
      <c r="N4" s="92"/>
      <c r="O4" s="161">
        <v>31577.835098420634</v>
      </c>
    </row>
    <row r="5" spans="2:16">
      <c r="G5" s="18"/>
      <c r="M5" s="156">
        <f>F17</f>
        <v>20000</v>
      </c>
      <c r="O5" s="161">
        <v>-31000</v>
      </c>
    </row>
    <row r="6" spans="2:16">
      <c r="G6" s="18" t="s">
        <v>274</v>
      </c>
      <c r="M6" s="156">
        <f>F19</f>
        <v>40000</v>
      </c>
      <c r="O6" s="161">
        <v>16614.879517193891</v>
      </c>
    </row>
    <row r="7" spans="2:16">
      <c r="G7" s="24" t="s">
        <v>55</v>
      </c>
      <c r="M7" s="156">
        <v>200000</v>
      </c>
      <c r="O7" s="161">
        <v>21053.49665022246</v>
      </c>
    </row>
    <row r="8" spans="2:16">
      <c r="G8" s="18"/>
      <c r="M8" s="156">
        <v>50000</v>
      </c>
      <c r="O8" s="161">
        <v>34826.662198656501</v>
      </c>
    </row>
    <row r="9" spans="2:16">
      <c r="M9" s="156">
        <v>50000</v>
      </c>
      <c r="O9" s="161">
        <v>-50000</v>
      </c>
    </row>
    <row r="10" spans="2:16">
      <c r="M10" s="156">
        <v>50000</v>
      </c>
    </row>
    <row r="11" spans="2:16">
      <c r="G11" s="18" t="s">
        <v>56</v>
      </c>
      <c r="M11" s="156">
        <v>-300000</v>
      </c>
    </row>
    <row r="12" spans="2:16">
      <c r="M12" s="156">
        <v>-150000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40709</v>
      </c>
      <c r="D15" t="s">
        <v>59</v>
      </c>
      <c r="F15" s="21">
        <v>200000</v>
      </c>
      <c r="G15" s="22"/>
      <c r="H15" s="21">
        <f>F15-G15</f>
        <v>200000</v>
      </c>
    </row>
    <row r="16" spans="2:16" ht="15" customHeight="1">
      <c r="B16" s="19">
        <v>41033</v>
      </c>
      <c r="D16" t="s">
        <v>102</v>
      </c>
      <c r="F16" s="21">
        <v>20000</v>
      </c>
      <c r="H16" s="21">
        <f>H15+F16-G16</f>
        <v>220000</v>
      </c>
    </row>
    <row r="17" spans="2:8" ht="15" customHeight="1">
      <c r="B17" s="19">
        <v>41096</v>
      </c>
      <c r="D17" t="s">
        <v>102</v>
      </c>
      <c r="F17" s="21">
        <v>20000</v>
      </c>
      <c r="H17" s="21">
        <f>H16+F17-G17</f>
        <v>240000</v>
      </c>
    </row>
    <row r="18" spans="2:8" ht="15" customHeight="1">
      <c r="B18" s="19">
        <v>41096</v>
      </c>
      <c r="D18" t="s">
        <v>102</v>
      </c>
      <c r="F18" s="21">
        <v>20000</v>
      </c>
      <c r="H18" s="21">
        <f>H17+F18-G18</f>
        <v>260000</v>
      </c>
    </row>
    <row r="19" spans="2:8" ht="15" customHeight="1">
      <c r="B19" s="19">
        <v>41229</v>
      </c>
      <c r="D19" t="s">
        <v>102</v>
      </c>
      <c r="F19" s="21">
        <v>40000</v>
      </c>
      <c r="H19" s="21">
        <f>H18+F19-G19</f>
        <v>300000</v>
      </c>
    </row>
    <row r="20" spans="2:8" ht="15" customHeight="1">
      <c r="B20" s="19">
        <v>41274</v>
      </c>
      <c r="D20" t="s">
        <v>392</v>
      </c>
      <c r="F20" s="21">
        <v>23814.989098501523</v>
      </c>
      <c r="H20" s="21">
        <f>H19+F20-G20</f>
        <v>323814.98909850151</v>
      </c>
    </row>
    <row r="21" spans="2:8" ht="15" customHeight="1">
      <c r="B21" s="19">
        <v>42004</v>
      </c>
      <c r="D21" t="s">
        <v>499</v>
      </c>
      <c r="F21" s="21">
        <v>31577.835098420634</v>
      </c>
      <c r="H21" s="21">
        <f t="shared" ref="H21:H31" si="0">H20+F21-G21</f>
        <v>355392.82419692213</v>
      </c>
    </row>
    <row r="22" spans="2:8" ht="15" customHeight="1">
      <c r="B22" s="19">
        <v>41640</v>
      </c>
      <c r="D22" t="s">
        <v>503</v>
      </c>
      <c r="G22" s="21">
        <v>31000</v>
      </c>
      <c r="H22" s="21">
        <f t="shared" si="0"/>
        <v>324392.82419692213</v>
      </c>
    </row>
    <row r="23" spans="2:8" ht="15" customHeight="1">
      <c r="B23" s="19">
        <v>42004</v>
      </c>
      <c r="D23" t="s">
        <v>592</v>
      </c>
      <c r="F23" s="21">
        <v>16614.879517193891</v>
      </c>
      <c r="H23" s="21">
        <f t="shared" si="0"/>
        <v>341007.70371411601</v>
      </c>
    </row>
    <row r="24" spans="2:8" ht="15" customHeight="1">
      <c r="B24" s="19">
        <v>42369</v>
      </c>
      <c r="D24" t="s">
        <v>694</v>
      </c>
      <c r="F24" s="21">
        <v>21053.49665022246</v>
      </c>
      <c r="H24" s="21">
        <f t="shared" si="0"/>
        <v>362061.20036433847</v>
      </c>
    </row>
    <row r="25" spans="2:8" ht="15" customHeight="1">
      <c r="B25" s="336">
        <v>42164</v>
      </c>
      <c r="D25" t="s">
        <v>637</v>
      </c>
      <c r="F25" s="21">
        <v>200000</v>
      </c>
      <c r="H25" s="21">
        <f t="shared" si="0"/>
        <v>562061.20036433847</v>
      </c>
    </row>
    <row r="26" spans="2:8" ht="15" customHeight="1">
      <c r="B26" s="336">
        <v>42416</v>
      </c>
      <c r="D26" t="s">
        <v>692</v>
      </c>
      <c r="F26" s="21">
        <v>50000</v>
      </c>
      <c r="H26" s="21">
        <f t="shared" si="0"/>
        <v>612061.20036433847</v>
      </c>
    </row>
    <row r="27" spans="2:8" ht="15" customHeight="1">
      <c r="B27" s="336">
        <v>42421</v>
      </c>
      <c r="D27" t="s">
        <v>491</v>
      </c>
      <c r="F27" s="21">
        <v>50000</v>
      </c>
      <c r="H27" s="21">
        <f t="shared" si="0"/>
        <v>662061.20036433847</v>
      </c>
    </row>
    <row r="28" spans="2:8" ht="15" customHeight="1">
      <c r="B28" s="336">
        <v>42436</v>
      </c>
      <c r="D28" t="s">
        <v>698</v>
      </c>
      <c r="F28" s="21">
        <v>50000</v>
      </c>
      <c r="H28" s="21">
        <f t="shared" si="0"/>
        <v>712061.20036433847</v>
      </c>
    </row>
    <row r="29" spans="2:8" ht="15" customHeight="1">
      <c r="B29" s="336">
        <v>42735</v>
      </c>
      <c r="D29" t="s">
        <v>732</v>
      </c>
      <c r="F29" s="21">
        <v>34826.662198656501</v>
      </c>
      <c r="H29" s="21">
        <f t="shared" si="0"/>
        <v>746887.86256299494</v>
      </c>
    </row>
    <row r="30" spans="2:8" ht="15" customHeight="1">
      <c r="B30" s="336">
        <v>42917</v>
      </c>
      <c r="C30" t="s">
        <v>804</v>
      </c>
      <c r="G30" s="21">
        <v>200000</v>
      </c>
      <c r="H30" s="21">
        <f t="shared" si="0"/>
        <v>546887.86256299494</v>
      </c>
    </row>
    <row r="31" spans="2:8" ht="15" customHeight="1">
      <c r="B31" s="336">
        <v>42917</v>
      </c>
      <c r="C31" t="s">
        <v>803</v>
      </c>
      <c r="F31" s="21">
        <v>300000</v>
      </c>
      <c r="G31" s="21">
        <v>300000</v>
      </c>
      <c r="H31" s="21">
        <f t="shared" si="0"/>
        <v>546887.86256299494</v>
      </c>
    </row>
    <row r="32" spans="2:8" ht="15" customHeight="1">
      <c r="B32" s="336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4:16" ht="15" customHeight="1"/>
    <row r="50" spans="4:16" ht="15" customHeight="1"/>
    <row r="55" spans="4:16" ht="15" customHeight="1">
      <c r="D55" s="76" t="s">
        <v>307</v>
      </c>
      <c r="E55" s="48"/>
      <c r="F55" s="53">
        <f>SUM(F15:F54)</f>
        <v>1077887.8625629949</v>
      </c>
      <c r="G55" s="53">
        <f>SUM(G15:G54)</f>
        <v>531000</v>
      </c>
      <c r="H55" s="77">
        <f>F55-G55</f>
        <v>546887.86256299494</v>
      </c>
      <c r="L55" s="156">
        <f>SUM(L3:L11)</f>
        <v>500000</v>
      </c>
      <c r="M55" s="156">
        <f>SUM(M3:M53)</f>
        <v>0</v>
      </c>
      <c r="N55" s="92">
        <f>SUM(N3:N11)</f>
        <v>0</v>
      </c>
      <c r="O55" s="161">
        <f>SUM(O3:O53)</f>
        <v>46887.862562995011</v>
      </c>
      <c r="P55" s="92">
        <f>SUM(P3:P11)</f>
        <v>0</v>
      </c>
    </row>
    <row r="56" spans="4:16">
      <c r="P56" s="92">
        <f>SUM(L55:P55)</f>
        <v>546887.86256299505</v>
      </c>
    </row>
  </sheetData>
  <mergeCells count="1">
    <mergeCell ref="L1:P1"/>
  </mergeCells>
  <phoneticPr fontId="7" type="noConversion"/>
  <pageMargins left="0.33" right="0.75" top="0.55000000000000004" bottom="1" header="0.5" footer="0.5"/>
  <pageSetup scale="90" orientation="landscape" horizontalDpi="4294967293" verticalDpi="0" r:id="rId1"/>
  <headerFooter alignWithMargins="0"/>
  <legacyDrawing r:id="rId2"/>
  <oleObjects>
    <oleObject progId="CorelDRAW.Graphic.11" shapeId="32769" r:id="rId3"/>
    <oleObject progId="CorelDRAW.Graphic.11" shapeId="32770" r:id="rId4"/>
  </oleObjects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indexed="11"/>
  </sheetPr>
  <dimension ref="B1:P51"/>
  <sheetViews>
    <sheetView workbookViewId="0">
      <selection activeCell="O6" sqref="O6"/>
    </sheetView>
  </sheetViews>
  <sheetFormatPr defaultRowHeight="12.75"/>
  <cols>
    <col min="1" max="1" width="0.2851562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270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137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3" t="s">
        <v>265</v>
      </c>
      <c r="G3" s="18" t="s">
        <v>61</v>
      </c>
      <c r="H3" s="21" t="s">
        <v>271</v>
      </c>
      <c r="L3" s="92">
        <f>F15</f>
        <v>200000</v>
      </c>
      <c r="M3" s="92">
        <f>F16</f>
        <v>20000</v>
      </c>
      <c r="N3" s="92"/>
      <c r="O3" s="92">
        <v>23814.989098501523</v>
      </c>
      <c r="P3" s="92"/>
    </row>
    <row r="4" spans="2:16">
      <c r="D4" t="s">
        <v>52</v>
      </c>
      <c r="G4" s="18" t="s">
        <v>273</v>
      </c>
      <c r="M4" s="92">
        <f>F18</f>
        <v>20000</v>
      </c>
      <c r="N4" s="92"/>
      <c r="O4" s="92">
        <v>31577.835098420634</v>
      </c>
    </row>
    <row r="5" spans="2:16">
      <c r="G5" s="18"/>
      <c r="M5" s="92">
        <f>F17</f>
        <v>20000</v>
      </c>
      <c r="O5" s="156">
        <v>-31000</v>
      </c>
    </row>
    <row r="6" spans="2:16">
      <c r="G6" s="18" t="s">
        <v>274</v>
      </c>
      <c r="M6" s="92">
        <f>F19</f>
        <v>40000</v>
      </c>
    </row>
    <row r="7" spans="2:16">
      <c r="G7" s="24" t="s">
        <v>55</v>
      </c>
      <c r="M7" s="92"/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40709</v>
      </c>
      <c r="D15" t="s">
        <v>59</v>
      </c>
      <c r="F15" s="21">
        <v>200000</v>
      </c>
      <c r="G15" s="22"/>
      <c r="H15" s="21">
        <f>F15-G15</f>
        <v>200000</v>
      </c>
    </row>
    <row r="16" spans="2:16" ht="15" customHeight="1">
      <c r="B16" s="19">
        <v>41033</v>
      </c>
      <c r="D16" t="s">
        <v>102</v>
      </c>
      <c r="F16" s="21">
        <v>20000</v>
      </c>
      <c r="H16" s="21">
        <f t="shared" ref="H16:H22" si="0">H15+F16-G16</f>
        <v>220000</v>
      </c>
    </row>
    <row r="17" spans="2:8" ht="15" customHeight="1">
      <c r="B17" s="19">
        <v>41096</v>
      </c>
      <c r="D17" t="s">
        <v>102</v>
      </c>
      <c r="F17" s="21">
        <v>20000</v>
      </c>
      <c r="H17" s="21">
        <f t="shared" si="0"/>
        <v>240000</v>
      </c>
    </row>
    <row r="18" spans="2:8" ht="15" customHeight="1">
      <c r="B18" s="19">
        <v>41096</v>
      </c>
      <c r="D18" t="s">
        <v>102</v>
      </c>
      <c r="F18" s="21">
        <v>20000</v>
      </c>
      <c r="H18" s="21">
        <f t="shared" si="0"/>
        <v>260000</v>
      </c>
    </row>
    <row r="19" spans="2:8" ht="15" customHeight="1">
      <c r="B19" s="19">
        <v>41229</v>
      </c>
      <c r="D19" t="s">
        <v>102</v>
      </c>
      <c r="F19" s="21">
        <v>40000</v>
      </c>
      <c r="H19" s="21">
        <f t="shared" si="0"/>
        <v>300000</v>
      </c>
    </row>
    <row r="20" spans="2:8" ht="15" customHeight="1">
      <c r="B20" s="19">
        <v>41274</v>
      </c>
      <c r="D20" t="s">
        <v>392</v>
      </c>
      <c r="F20" s="21">
        <v>23814.989098501523</v>
      </c>
      <c r="H20" s="21">
        <f t="shared" si="0"/>
        <v>323814.98909850151</v>
      </c>
    </row>
    <row r="21" spans="2:8" ht="15" customHeight="1">
      <c r="B21" s="19">
        <v>41640</v>
      </c>
      <c r="D21" t="s">
        <v>499</v>
      </c>
      <c r="F21" s="21">
        <v>31577.835098420634</v>
      </c>
      <c r="H21" s="21">
        <f t="shared" si="0"/>
        <v>355392.82419692213</v>
      </c>
    </row>
    <row r="22" spans="2:8" ht="15" customHeight="1">
      <c r="B22" s="19">
        <v>41640</v>
      </c>
      <c r="D22" t="s">
        <v>503</v>
      </c>
      <c r="G22" s="21">
        <v>31000</v>
      </c>
      <c r="H22" s="21">
        <f t="shared" si="0"/>
        <v>324392.82419692213</v>
      </c>
    </row>
    <row r="23" spans="2:8" ht="15" customHeight="1"/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355392.82419692213</v>
      </c>
      <c r="G50" s="53">
        <f>SUM(G15:G49)</f>
        <v>31000</v>
      </c>
      <c r="H50" s="77">
        <f>F50-G50</f>
        <v>324392.82419692213</v>
      </c>
      <c r="L50" s="92">
        <f>SUM(L3:L11)</f>
        <v>200000</v>
      </c>
      <c r="M50" s="92">
        <f>SUM(M3:M11)</f>
        <v>100000</v>
      </c>
      <c r="N50" s="92">
        <f>SUM(N3:N11)</f>
        <v>0</v>
      </c>
      <c r="O50" s="92">
        <f>SUM(O3:O11)</f>
        <v>24392.824196922156</v>
      </c>
      <c r="P50" s="92">
        <f>SUM(P3:P11)</f>
        <v>0</v>
      </c>
    </row>
    <row r="51" spans="4:16">
      <c r="P51" s="92">
        <f>SUM(L50:P50)</f>
        <v>324392.82419692213</v>
      </c>
    </row>
  </sheetData>
  <mergeCells count="1">
    <mergeCell ref="L1:P1"/>
  </mergeCells>
  <phoneticPr fontId="7" type="noConversion"/>
  <pageMargins left="0.27" right="0.75" top="0.55000000000000004" bottom="1" header="0.5" footer="0.5"/>
  <pageSetup scale="90" orientation="landscape" horizontalDpi="4294967293" verticalDpi="0" r:id="rId1"/>
  <headerFooter alignWithMargins="0"/>
  <legacyDrawing r:id="rId2"/>
  <oleObjects>
    <oleObject progId="CorelDRAW.Graphic.11" shapeId="33793" r:id="rId3"/>
    <oleObject progId="CorelDRAW.Graphic.11" shapeId="33794" r:id="rId4"/>
  </oleObjects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FF00"/>
  </sheetPr>
  <dimension ref="B1:P51"/>
  <sheetViews>
    <sheetView topLeftCell="A19" zoomScale="90" zoomScaleNormal="90" workbookViewId="0">
      <selection activeCell="M13" sqref="M13"/>
    </sheetView>
  </sheetViews>
  <sheetFormatPr defaultRowHeight="12.75"/>
  <cols>
    <col min="1" max="1" width="0.4257812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t="s">
        <v>959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201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t="s">
        <v>960</v>
      </c>
      <c r="G3" s="18" t="s">
        <v>61</v>
      </c>
      <c r="H3" s="517" t="s">
        <v>961</v>
      </c>
      <c r="L3" s="92">
        <f>F15</f>
        <v>500000</v>
      </c>
      <c r="M3" s="92">
        <f>F16</f>
        <v>50000</v>
      </c>
      <c r="N3" s="92"/>
      <c r="O3" s="92"/>
      <c r="P3" s="92"/>
    </row>
    <row r="4" spans="2:16">
      <c r="D4" t="s">
        <v>52</v>
      </c>
      <c r="G4" s="18" t="s">
        <v>273</v>
      </c>
      <c r="H4" s="142">
        <f>B15</f>
        <v>43484</v>
      </c>
      <c r="M4" s="92">
        <f>F17</f>
        <v>50000</v>
      </c>
      <c r="N4" s="92"/>
      <c r="O4" s="92"/>
    </row>
    <row r="5" spans="2:16">
      <c r="G5" s="18"/>
      <c r="M5" s="156">
        <v>500000</v>
      </c>
    </row>
    <row r="6" spans="2:16">
      <c r="G6" s="307" t="s">
        <v>962</v>
      </c>
      <c r="H6" s="142">
        <f>H4</f>
        <v>43484</v>
      </c>
      <c r="M6" s="92">
        <f>F19</f>
        <v>0</v>
      </c>
    </row>
    <row r="7" spans="2:16">
      <c r="G7" s="24" t="s">
        <v>55</v>
      </c>
      <c r="M7" s="92"/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43484</v>
      </c>
      <c r="D15" t="s">
        <v>932</v>
      </c>
      <c r="F15" s="21">
        <v>500000</v>
      </c>
      <c r="G15" s="22"/>
      <c r="H15" s="21">
        <f>F15-G15</f>
        <v>500000</v>
      </c>
    </row>
    <row r="16" spans="2:16" ht="15" customHeight="1">
      <c r="B16" s="336">
        <v>43484</v>
      </c>
      <c r="D16" t="s">
        <v>917</v>
      </c>
      <c r="F16" s="21">
        <v>50000</v>
      </c>
      <c r="H16" s="21">
        <f t="shared" ref="H16:H26" si="0">H15+F16-G16</f>
        <v>550000</v>
      </c>
    </row>
    <row r="17" spans="2:8" ht="15" customHeight="1">
      <c r="B17" s="19">
        <v>43499</v>
      </c>
      <c r="D17" t="s">
        <v>286</v>
      </c>
      <c r="F17" s="21">
        <v>50000</v>
      </c>
      <c r="H17" s="21">
        <f t="shared" si="0"/>
        <v>600000</v>
      </c>
    </row>
    <row r="18" spans="2:8" ht="15" customHeight="1">
      <c r="B18" s="19">
        <v>43605</v>
      </c>
      <c r="D18" t="s">
        <v>1042</v>
      </c>
      <c r="F18" s="21">
        <v>500000</v>
      </c>
      <c r="H18" s="21">
        <f t="shared" si="0"/>
        <v>1100000</v>
      </c>
    </row>
    <row r="19" spans="2:8" ht="15" customHeight="1">
      <c r="H19" s="21">
        <f t="shared" si="0"/>
        <v>1100000</v>
      </c>
    </row>
    <row r="20" spans="2:8" ht="15" customHeight="1">
      <c r="H20" s="21">
        <f t="shared" si="0"/>
        <v>1100000</v>
      </c>
    </row>
    <row r="21" spans="2:8" ht="15" customHeight="1">
      <c r="H21" s="21">
        <f t="shared" si="0"/>
        <v>1100000</v>
      </c>
    </row>
    <row r="22" spans="2:8" ht="15" customHeight="1">
      <c r="H22" s="21">
        <f t="shared" si="0"/>
        <v>1100000</v>
      </c>
    </row>
    <row r="23" spans="2:8" ht="15" customHeight="1">
      <c r="H23" s="21">
        <f t="shared" si="0"/>
        <v>1100000</v>
      </c>
    </row>
    <row r="24" spans="2:8" ht="15" customHeight="1">
      <c r="H24" s="21">
        <f t="shared" si="0"/>
        <v>1100000</v>
      </c>
    </row>
    <row r="25" spans="2:8" ht="15" customHeight="1">
      <c r="B25" s="336"/>
      <c r="H25" s="21">
        <f t="shared" si="0"/>
        <v>1100000</v>
      </c>
    </row>
    <row r="26" spans="2:8" ht="15" customHeight="1">
      <c r="B26" s="336"/>
      <c r="H26" s="21">
        <f t="shared" si="0"/>
        <v>1100000</v>
      </c>
    </row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1100000</v>
      </c>
      <c r="G50" s="53">
        <f>SUM(G15:G49)</f>
        <v>0</v>
      </c>
      <c r="H50" s="77">
        <f>F50-G50</f>
        <v>1100000</v>
      </c>
      <c r="L50" s="92">
        <f>SUM(L3:L11)</f>
        <v>500000</v>
      </c>
      <c r="M50" s="92">
        <f>SUM(M3:M11)</f>
        <v>600000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1100000</v>
      </c>
    </row>
  </sheetData>
  <mergeCells count="1">
    <mergeCell ref="L1:P1"/>
  </mergeCells>
  <phoneticPr fontId="7" type="noConversion"/>
  <pageMargins left="0.27" right="0.75" top="0.56000000000000005" bottom="1" header="0.5" footer="0.5"/>
  <pageSetup scale="90" orientation="landscape" horizontalDpi="4294967293" verticalDpi="0" r:id="rId1"/>
  <headerFooter alignWithMargins="0"/>
  <legacyDrawing r:id="rId2"/>
  <oleObjects>
    <oleObject progId="CorelDRAW.Graphic.11" shapeId="31745" r:id="rId3"/>
    <oleObject progId="CorelDRAW.Graphic.11" shapeId="31746" r:id="rId4"/>
  </oleObjec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FF00"/>
  </sheetPr>
  <dimension ref="B1:P51"/>
  <sheetViews>
    <sheetView workbookViewId="0">
      <selection activeCell="M9" sqref="M9"/>
    </sheetView>
  </sheetViews>
  <sheetFormatPr defaultRowHeight="12.75"/>
  <cols>
    <col min="1" max="1" width="0.855468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966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308" t="s">
        <v>202</v>
      </c>
      <c r="G2" s="18" t="s">
        <v>53</v>
      </c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55" t="s">
        <v>967</v>
      </c>
      <c r="G3" s="18" t="s">
        <v>61</v>
      </c>
      <c r="H3" s="292" t="s">
        <v>968</v>
      </c>
      <c r="L3" s="92">
        <f>F15</f>
        <v>500000</v>
      </c>
      <c r="M3" s="156">
        <f>F16</f>
        <v>50000</v>
      </c>
      <c r="N3" s="92"/>
      <c r="O3" s="92"/>
      <c r="P3" s="92"/>
    </row>
    <row r="4" spans="2:16">
      <c r="D4" t="s">
        <v>52</v>
      </c>
      <c r="G4" s="307" t="s">
        <v>379</v>
      </c>
      <c r="H4" s="142">
        <f>B15</f>
        <v>43494</v>
      </c>
      <c r="M4" s="156">
        <f>F17</f>
        <v>100000</v>
      </c>
      <c r="N4" s="92"/>
      <c r="O4" s="92"/>
    </row>
    <row r="5" spans="2:16">
      <c r="G5" s="18"/>
      <c r="M5" s="156">
        <v>100000</v>
      </c>
    </row>
    <row r="6" spans="2:16">
      <c r="G6" s="307" t="s">
        <v>962</v>
      </c>
      <c r="H6" s="142">
        <f>H4</f>
        <v>43494</v>
      </c>
      <c r="M6" s="156">
        <v>150000</v>
      </c>
    </row>
    <row r="7" spans="2:16">
      <c r="G7" s="24" t="s">
        <v>55</v>
      </c>
      <c r="M7" s="156">
        <v>150000</v>
      </c>
    </row>
    <row r="8" spans="2:16">
      <c r="G8" s="18"/>
      <c r="M8" s="156">
        <v>50000</v>
      </c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43494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336">
        <v>43494</v>
      </c>
      <c r="D16" t="s">
        <v>102</v>
      </c>
      <c r="F16" s="21">
        <v>50000</v>
      </c>
      <c r="H16" s="21">
        <f t="shared" ref="H16:H21" si="0">H15+F16-G16</f>
        <v>550000</v>
      </c>
    </row>
    <row r="17" spans="2:8" ht="15" customHeight="1">
      <c r="B17" s="19">
        <v>43530</v>
      </c>
      <c r="D17" t="s">
        <v>102</v>
      </c>
      <c r="F17" s="21">
        <v>100000</v>
      </c>
      <c r="H17" s="21">
        <f t="shared" si="0"/>
        <v>650000</v>
      </c>
    </row>
    <row r="18" spans="2:8" ht="15" customHeight="1">
      <c r="B18" s="19">
        <v>43947</v>
      </c>
      <c r="D18" s="55" t="s">
        <v>917</v>
      </c>
      <c r="F18" s="21">
        <v>100000</v>
      </c>
      <c r="H18" s="21">
        <f t="shared" si="0"/>
        <v>750000</v>
      </c>
    </row>
    <row r="19" spans="2:8" ht="15" customHeight="1">
      <c r="B19" s="19">
        <v>43985</v>
      </c>
      <c r="D19" s="55" t="s">
        <v>917</v>
      </c>
      <c r="F19" s="21">
        <v>150000</v>
      </c>
      <c r="H19" s="21">
        <f t="shared" si="0"/>
        <v>900000</v>
      </c>
    </row>
    <row r="20" spans="2:8" ht="15" customHeight="1">
      <c r="B20" s="19">
        <v>44085</v>
      </c>
      <c r="D20" s="55" t="s">
        <v>917</v>
      </c>
      <c r="F20" s="21">
        <v>150000</v>
      </c>
      <c r="H20" s="21">
        <f t="shared" si="0"/>
        <v>1050000</v>
      </c>
    </row>
    <row r="21" spans="2:8" ht="15" customHeight="1">
      <c r="B21" s="19">
        <v>44125</v>
      </c>
      <c r="D21" s="55" t="s">
        <v>917</v>
      </c>
      <c r="F21" s="21">
        <v>50000</v>
      </c>
      <c r="H21" s="21">
        <f t="shared" si="0"/>
        <v>1100000</v>
      </c>
    </row>
    <row r="22" spans="2:8" ht="15" customHeight="1"/>
    <row r="23" spans="2:8" ht="15" customHeight="1"/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1100000</v>
      </c>
      <c r="G50" s="53">
        <f>SUM(G15:G49)</f>
        <v>0</v>
      </c>
      <c r="H50" s="77">
        <f>F50-G50</f>
        <v>1100000</v>
      </c>
      <c r="L50" s="92">
        <f>SUM(L3:L11)</f>
        <v>500000</v>
      </c>
      <c r="M50" s="156">
        <f>SUM(M3:M29)</f>
        <v>600000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1100000</v>
      </c>
    </row>
  </sheetData>
  <mergeCells count="1">
    <mergeCell ref="L1:P1"/>
  </mergeCells>
  <phoneticPr fontId="7" type="noConversion"/>
  <pageMargins left="0.23" right="0.75" top="0.48" bottom="1" header="0.34" footer="0.5"/>
  <pageSetup scale="90" orientation="landscape" horizontalDpi="4294967293" verticalDpi="0" r:id="rId1"/>
  <headerFooter alignWithMargins="0"/>
  <legacyDrawing r:id="rId2"/>
  <oleObjects>
    <oleObject progId="CorelDRAW.Graphic.11" shapeId="30721" r:id="rId3"/>
    <oleObject progId="CorelDRAW.Graphic.11" shapeId="30722" r:id="rId4"/>
  </oleObjects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FF00"/>
  </sheetPr>
  <dimension ref="B1:P50"/>
  <sheetViews>
    <sheetView topLeftCell="A19" workbookViewId="0">
      <selection activeCell="M38" sqref="M38"/>
    </sheetView>
  </sheetViews>
  <sheetFormatPr defaultRowHeight="12.75"/>
  <cols>
    <col min="1" max="1" width="0.2851562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972</v>
      </c>
      <c r="G1" s="18" t="s">
        <v>977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203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3" t="s">
        <v>973</v>
      </c>
      <c r="G3" s="18" t="s">
        <v>61</v>
      </c>
      <c r="H3" s="22" t="s">
        <v>974</v>
      </c>
      <c r="L3" s="92">
        <f>F15</f>
        <v>500000</v>
      </c>
      <c r="M3" s="92">
        <f>F16</f>
        <v>600000</v>
      </c>
      <c r="N3" s="92"/>
      <c r="O3" s="92"/>
      <c r="P3" s="92"/>
    </row>
    <row r="4" spans="2:16">
      <c r="D4" t="s">
        <v>52</v>
      </c>
      <c r="G4" s="18" t="s">
        <v>975</v>
      </c>
      <c r="M4" s="92">
        <f>F18</f>
        <v>0</v>
      </c>
      <c r="N4" s="92"/>
      <c r="O4" s="92"/>
    </row>
    <row r="5" spans="2:16">
      <c r="G5" s="18"/>
      <c r="M5" s="92">
        <f>F17</f>
        <v>0</v>
      </c>
    </row>
    <row r="6" spans="2:16">
      <c r="G6" s="18" t="s">
        <v>962</v>
      </c>
      <c r="M6" s="92">
        <f>F19</f>
        <v>0</v>
      </c>
    </row>
    <row r="7" spans="2:16">
      <c r="G7" s="24" t="s">
        <v>976</v>
      </c>
      <c r="M7" s="92"/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43497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336">
        <v>43497</v>
      </c>
      <c r="D16" t="s">
        <v>102</v>
      </c>
      <c r="F16" s="21">
        <v>600000</v>
      </c>
      <c r="H16" s="21">
        <f t="shared" ref="H16:H22" si="0">H15+F16-G16</f>
        <v>1100000</v>
      </c>
    </row>
    <row r="17" spans="8:16" ht="15" customHeight="1">
      <c r="H17" s="21">
        <f t="shared" si="0"/>
        <v>1100000</v>
      </c>
    </row>
    <row r="18" spans="8:16" ht="15" customHeight="1">
      <c r="H18" s="21">
        <f t="shared" si="0"/>
        <v>1100000</v>
      </c>
    </row>
    <row r="19" spans="8:16" ht="15" customHeight="1">
      <c r="H19" s="21">
        <f t="shared" si="0"/>
        <v>1100000</v>
      </c>
    </row>
    <row r="20" spans="8:16" ht="15" customHeight="1">
      <c r="H20" s="21">
        <f t="shared" si="0"/>
        <v>1100000</v>
      </c>
    </row>
    <row r="21" spans="8:16" ht="15" customHeight="1">
      <c r="H21" s="21">
        <f t="shared" si="0"/>
        <v>1100000</v>
      </c>
    </row>
    <row r="22" spans="8:16" ht="15" customHeight="1">
      <c r="H22" s="21">
        <f t="shared" si="0"/>
        <v>1100000</v>
      </c>
    </row>
    <row r="23" spans="8:16" ht="15" customHeight="1"/>
    <row r="24" spans="8:16" ht="15" customHeight="1"/>
    <row r="25" spans="8:16" ht="15" customHeight="1"/>
    <row r="26" spans="8:16" ht="15" customHeight="1"/>
    <row r="27" spans="8:16" ht="15" customHeight="1"/>
    <row r="28" spans="8:16" ht="15" customHeight="1"/>
    <row r="29" spans="8:16" ht="15" customHeight="1"/>
    <row r="30" spans="8:16" ht="15" customHeight="1">
      <c r="L30" s="92">
        <f>SUM(L3:L11)</f>
        <v>500000</v>
      </c>
      <c r="M30" s="92">
        <f>SUM(M3:M11)</f>
        <v>600000</v>
      </c>
      <c r="N30" s="92">
        <f>SUM(N3:N11)</f>
        <v>0</v>
      </c>
      <c r="O30" s="92">
        <f>SUM(O3:O11)</f>
        <v>0</v>
      </c>
      <c r="P30" s="92">
        <f>SUM(P3:P11)</f>
        <v>0</v>
      </c>
    </row>
    <row r="31" spans="8:16" ht="15" customHeight="1">
      <c r="P31" s="92">
        <f>SUM(L30:P30)</f>
        <v>1100000</v>
      </c>
    </row>
    <row r="32" spans="8:1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8" ht="15" customHeight="1">
      <c r="D50" s="76" t="s">
        <v>307</v>
      </c>
      <c r="E50" s="48"/>
      <c r="F50" s="53">
        <f>SUM(F15:F49)</f>
        <v>1100000</v>
      </c>
      <c r="G50" s="53">
        <f>SUM(G15:G49)</f>
        <v>0</v>
      </c>
      <c r="H50" s="77">
        <f>F50-G50</f>
        <v>1100000</v>
      </c>
    </row>
  </sheetData>
  <mergeCells count="1">
    <mergeCell ref="L1:P1"/>
  </mergeCells>
  <phoneticPr fontId="7" type="noConversion"/>
  <pageMargins left="0.31496062992125984" right="0.74803149606299213" top="0.55118110236220474" bottom="0.98425196850393704" header="0.51181102362204722" footer="0.51181102362204722"/>
  <pageSetup scale="90" orientation="landscape" horizontalDpi="4294967293" verticalDpi="0" r:id="rId1"/>
  <headerFooter alignWithMargins="0"/>
  <legacyDrawing r:id="rId2"/>
  <oleObjects>
    <oleObject progId="CorelDRAW.Graphic.11" shapeId="34817" r:id="rId3"/>
    <oleObject progId="CorelDRAW.Graphic.11" shapeId="34818" r:id="rId4"/>
  </oleObjects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F0"/>
  </sheetPr>
  <dimension ref="B1:P53"/>
  <sheetViews>
    <sheetView topLeftCell="A16" workbookViewId="0">
      <selection activeCell="Q34" sqref="Q34"/>
    </sheetView>
  </sheetViews>
  <sheetFormatPr defaultRowHeight="12.75"/>
  <cols>
    <col min="1" max="1" width="0.5703125" customWidth="1"/>
    <col min="2" max="2" width="11.28515625" style="19" customWidth="1"/>
    <col min="3" max="3" width="1.5703125" customWidth="1"/>
    <col min="5" max="5" width="17.57031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275</v>
      </c>
      <c r="G1" s="18" t="s">
        <v>947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139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3" t="s">
        <v>96</v>
      </c>
      <c r="G3" s="18" t="s">
        <v>61</v>
      </c>
      <c r="H3" s="21" t="s">
        <v>313</v>
      </c>
      <c r="L3" s="92">
        <f>F15</f>
        <v>200000</v>
      </c>
      <c r="M3" s="92">
        <f>F16</f>
        <v>100000</v>
      </c>
      <c r="N3" s="92"/>
      <c r="O3" s="92">
        <f>F17</f>
        <v>23814.989098501523</v>
      </c>
      <c r="P3" s="92"/>
    </row>
    <row r="4" spans="2:16">
      <c r="D4" t="s">
        <v>52</v>
      </c>
      <c r="G4" s="18" t="s">
        <v>276</v>
      </c>
      <c r="L4" s="30">
        <v>300000</v>
      </c>
      <c r="M4" s="92">
        <v>100000</v>
      </c>
      <c r="N4" s="92"/>
      <c r="O4" s="92">
        <v>31577.835098420634</v>
      </c>
    </row>
    <row r="5" spans="2:16">
      <c r="G5" s="18"/>
      <c r="M5" s="92">
        <v>50000</v>
      </c>
      <c r="O5" s="161">
        <v>18202.649734701361</v>
      </c>
    </row>
    <row r="6" spans="2:16">
      <c r="G6" s="18" t="s">
        <v>277</v>
      </c>
      <c r="M6" s="92"/>
      <c r="O6" s="161">
        <v>14538.59345247708</v>
      </c>
    </row>
    <row r="7" spans="2:16">
      <c r="G7" s="24" t="s">
        <v>948</v>
      </c>
      <c r="M7" s="92"/>
      <c r="O7" s="161">
        <v>18983.500358761619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40732</v>
      </c>
      <c r="D15" t="s">
        <v>59</v>
      </c>
      <c r="F15" s="21">
        <v>200000</v>
      </c>
      <c r="G15" s="22"/>
      <c r="H15" s="21">
        <f>F15-G15</f>
        <v>200000</v>
      </c>
    </row>
    <row r="16" spans="2:16" ht="15" customHeight="1">
      <c r="B16" s="19">
        <v>40732</v>
      </c>
      <c r="D16" t="s">
        <v>102</v>
      </c>
      <c r="F16" s="21">
        <v>100000</v>
      </c>
      <c r="H16" s="21">
        <f>H15+F16-G16</f>
        <v>300000</v>
      </c>
    </row>
    <row r="17" spans="2:8" ht="15" customHeight="1">
      <c r="B17" s="19">
        <v>41274</v>
      </c>
      <c r="D17" t="s">
        <v>392</v>
      </c>
      <c r="F17" s="21">
        <v>23814.989098501523</v>
      </c>
      <c r="H17" s="21">
        <f t="shared" ref="H17:H24" si="0">H16+F17-G17</f>
        <v>323814.98909850151</v>
      </c>
    </row>
    <row r="18" spans="2:8" ht="15" customHeight="1">
      <c r="B18" s="336">
        <v>41639</v>
      </c>
      <c r="D18" t="s">
        <v>499</v>
      </c>
      <c r="F18" s="21">
        <v>31577.835098420634</v>
      </c>
      <c r="H18" s="21">
        <f t="shared" si="0"/>
        <v>355392.82419692213</v>
      </c>
    </row>
    <row r="19" spans="2:8" ht="15" customHeight="1">
      <c r="B19" s="336">
        <v>42004</v>
      </c>
      <c r="D19" t="s">
        <v>592</v>
      </c>
      <c r="F19" s="21">
        <v>18202.649734701361</v>
      </c>
      <c r="H19" s="21">
        <f t="shared" si="0"/>
        <v>373595.47393162351</v>
      </c>
    </row>
    <row r="20" spans="2:8" ht="15" customHeight="1">
      <c r="B20" s="336">
        <v>42369</v>
      </c>
      <c r="D20" t="s">
        <v>694</v>
      </c>
      <c r="F20" s="21">
        <v>14538.59345247708</v>
      </c>
      <c r="H20" s="21">
        <f t="shared" si="0"/>
        <v>388134.06738410058</v>
      </c>
    </row>
    <row r="21" spans="2:8" ht="15" customHeight="1">
      <c r="B21" s="336">
        <v>42735</v>
      </c>
      <c r="D21" t="s">
        <v>732</v>
      </c>
      <c r="F21" s="21">
        <v>18983.500358761619</v>
      </c>
      <c r="H21" s="21">
        <f t="shared" si="0"/>
        <v>407117.56774286221</v>
      </c>
    </row>
    <row r="22" spans="2:8" ht="15" customHeight="1">
      <c r="B22" s="337">
        <v>42923</v>
      </c>
      <c r="D22" s="55" t="s">
        <v>286</v>
      </c>
      <c r="F22" s="21">
        <v>100000</v>
      </c>
      <c r="H22" s="21">
        <f t="shared" si="0"/>
        <v>507117.56774286221</v>
      </c>
    </row>
    <row r="23" spans="2:8" ht="15" customHeight="1">
      <c r="B23" s="19">
        <v>43042</v>
      </c>
      <c r="D23" s="55" t="s">
        <v>945</v>
      </c>
      <c r="F23" s="21">
        <v>300000</v>
      </c>
      <c r="H23" s="21">
        <f t="shared" si="0"/>
        <v>807117.56774286227</v>
      </c>
    </row>
    <row r="24" spans="2:8" ht="15" customHeight="1">
      <c r="B24" s="336">
        <v>43042</v>
      </c>
      <c r="D24" s="55" t="s">
        <v>946</v>
      </c>
      <c r="F24" s="21">
        <v>50000</v>
      </c>
      <c r="H24" s="21">
        <f t="shared" si="0"/>
        <v>857117.56774286227</v>
      </c>
    </row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52" spans="4:16" ht="15" customHeight="1">
      <c r="D52" s="76" t="s">
        <v>307</v>
      </c>
      <c r="E52" s="48"/>
      <c r="F52" s="53">
        <f>SUM(F15:F51)</f>
        <v>857117.56774286227</v>
      </c>
      <c r="G52" s="53">
        <f>SUM(G15:G51)</f>
        <v>0</v>
      </c>
      <c r="H52" s="77">
        <f>F52-G52</f>
        <v>857117.56774286227</v>
      </c>
      <c r="L52" s="92">
        <f>SUM(L3:L11)</f>
        <v>500000</v>
      </c>
      <c r="M52" s="92">
        <f>SUM(M3:M11)</f>
        <v>250000</v>
      </c>
      <c r="N52" s="92">
        <f>SUM(N3:N11)</f>
        <v>0</v>
      </c>
      <c r="O52" s="92">
        <f>SUM(O3:O11)</f>
        <v>107117.56774286223</v>
      </c>
      <c r="P52" s="92">
        <f>SUM(P3:P11)</f>
        <v>0</v>
      </c>
    </row>
    <row r="53" spans="4:16">
      <c r="P53" s="92">
        <f>SUM(L52:P52)</f>
        <v>857117.56774286227</v>
      </c>
    </row>
  </sheetData>
  <mergeCells count="1">
    <mergeCell ref="L1:P1"/>
  </mergeCells>
  <phoneticPr fontId="7" type="noConversion"/>
  <pageMargins left="0.38" right="0.75" top="0.56000000000000005" bottom="1" header="0.5" footer="0.5"/>
  <pageSetup scale="90" orientation="landscape" horizontalDpi="4294967293" verticalDpi="0" r:id="rId1"/>
  <headerFooter alignWithMargins="0"/>
  <legacyDrawing r:id="rId2"/>
  <oleObjects>
    <oleObject progId="CorelDRAW.Graphic.11" shapeId="35841" r:id="rId3"/>
    <oleObject progId="CorelDRAW.Graphic.11" shapeId="35842" r:id="rId4"/>
  </oleObjects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F0"/>
  </sheetPr>
  <dimension ref="B1:P66"/>
  <sheetViews>
    <sheetView topLeftCell="A38" workbookViewId="0">
      <selection activeCell="M30" sqref="M30:M31"/>
    </sheetView>
  </sheetViews>
  <sheetFormatPr defaultRowHeight="12.75"/>
  <cols>
    <col min="1" max="1" width="0.42578125" customWidth="1"/>
    <col min="2" max="2" width="11.28515625" style="19" customWidth="1"/>
    <col min="3" max="3" width="1.5703125" customWidth="1"/>
    <col min="5" max="5" width="10.28515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3" width="14.140625" style="156" customWidth="1"/>
    <col min="14" max="14" width="14.140625" style="30" customWidth="1"/>
    <col min="15" max="15" width="14.140625" style="156" customWidth="1"/>
    <col min="16" max="16" width="17.140625" style="30" customWidth="1"/>
  </cols>
  <sheetData>
    <row r="1" spans="2:16">
      <c r="B1" s="19" t="s">
        <v>49</v>
      </c>
      <c r="C1" t="s">
        <v>3</v>
      </c>
      <c r="D1" t="s">
        <v>278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140</v>
      </c>
      <c r="G2" s="18" t="s">
        <v>53</v>
      </c>
      <c r="L2" s="155" t="s">
        <v>338</v>
      </c>
      <c r="M2" s="155" t="s">
        <v>339</v>
      </c>
      <c r="N2" s="91" t="s">
        <v>340</v>
      </c>
      <c r="O2" s="155" t="s">
        <v>393</v>
      </c>
      <c r="P2" s="91" t="s">
        <v>341</v>
      </c>
    </row>
    <row r="3" spans="2:16">
      <c r="B3" s="19" t="s">
        <v>11</v>
      </c>
      <c r="C3" t="s">
        <v>3</v>
      </c>
      <c r="D3" s="23" t="s">
        <v>280</v>
      </c>
      <c r="G3" s="18" t="s">
        <v>61</v>
      </c>
      <c r="H3" t="s">
        <v>279</v>
      </c>
      <c r="L3" s="156">
        <f>F15</f>
        <v>200000</v>
      </c>
      <c r="M3" s="156">
        <f>F16</f>
        <v>60000</v>
      </c>
      <c r="N3" s="92"/>
      <c r="O3" s="156">
        <f>F21</f>
        <v>31356.402313027007</v>
      </c>
      <c r="P3" s="92"/>
    </row>
    <row r="4" spans="2:16">
      <c r="D4" t="s">
        <v>52</v>
      </c>
      <c r="G4" s="18" t="s">
        <v>276</v>
      </c>
      <c r="L4" s="156">
        <v>300000</v>
      </c>
      <c r="M4" s="156">
        <f>F17</f>
        <v>40000</v>
      </c>
      <c r="O4" s="156">
        <v>68394.9710886463</v>
      </c>
    </row>
    <row r="5" spans="2:16">
      <c r="G5" s="18"/>
      <c r="M5" s="156">
        <f>F18</f>
        <v>20000</v>
      </c>
      <c r="O5" s="156">
        <v>49669.108034649864</v>
      </c>
    </row>
    <row r="6" spans="2:16">
      <c r="G6" s="18" t="s">
        <v>277</v>
      </c>
      <c r="M6" s="156">
        <f>F19</f>
        <v>25000</v>
      </c>
    </row>
    <row r="7" spans="2:16">
      <c r="G7" s="24" t="s">
        <v>55</v>
      </c>
      <c r="M7" s="156">
        <f>F20</f>
        <v>50000</v>
      </c>
    </row>
    <row r="8" spans="2:16">
      <c r="G8" s="18"/>
      <c r="M8" s="156">
        <f t="shared" ref="M8:M13" si="0">F22</f>
        <v>25000</v>
      </c>
    </row>
    <row r="9" spans="2:16">
      <c r="M9" s="156">
        <f t="shared" si="0"/>
        <v>25000</v>
      </c>
    </row>
    <row r="10" spans="2:16">
      <c r="M10" s="156">
        <f t="shared" si="0"/>
        <v>25000</v>
      </c>
    </row>
    <row r="11" spans="2:16">
      <c r="G11" s="18" t="s">
        <v>56</v>
      </c>
      <c r="M11" s="156">
        <f t="shared" si="0"/>
        <v>25000</v>
      </c>
    </row>
    <row r="12" spans="2:16">
      <c r="M12" s="156">
        <f t="shared" si="0"/>
        <v>25000</v>
      </c>
    </row>
    <row r="13" spans="2:16">
      <c r="M13" s="156">
        <f t="shared" si="0"/>
        <v>25000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f>F28</f>
        <v>25000</v>
      </c>
    </row>
    <row r="15" spans="2:16" ht="15" customHeight="1">
      <c r="B15" s="19">
        <v>40732</v>
      </c>
      <c r="D15" t="s">
        <v>59</v>
      </c>
      <c r="F15" s="21">
        <v>200000</v>
      </c>
      <c r="G15" s="22"/>
      <c r="H15" s="21">
        <f>F15-G15</f>
        <v>200000</v>
      </c>
      <c r="M15" s="156">
        <f>F29</f>
        <v>25000</v>
      </c>
    </row>
    <row r="16" spans="2:16" ht="15" customHeight="1">
      <c r="B16" s="19">
        <v>40732</v>
      </c>
      <c r="D16" t="s">
        <v>102</v>
      </c>
      <c r="F16" s="21">
        <v>60000</v>
      </c>
      <c r="H16" s="21">
        <f t="shared" ref="H16:H29" si="1">H15+F16-G16</f>
        <v>260000</v>
      </c>
      <c r="M16" s="156">
        <v>50000</v>
      </c>
    </row>
    <row r="17" spans="2:13" ht="15" customHeight="1">
      <c r="B17" s="19">
        <v>40760</v>
      </c>
      <c r="D17" t="s">
        <v>102</v>
      </c>
      <c r="F17" s="21">
        <v>40000</v>
      </c>
      <c r="H17" s="21">
        <f t="shared" si="1"/>
        <v>300000</v>
      </c>
      <c r="M17" s="156">
        <v>25000</v>
      </c>
    </row>
    <row r="18" spans="2:13" ht="15" customHeight="1">
      <c r="B18" s="19">
        <v>40818</v>
      </c>
      <c r="D18" t="s">
        <v>102</v>
      </c>
      <c r="F18" s="21">
        <v>20000</v>
      </c>
      <c r="H18" s="21">
        <f t="shared" si="1"/>
        <v>320000</v>
      </c>
      <c r="M18" s="156">
        <v>25000</v>
      </c>
    </row>
    <row r="19" spans="2:13" ht="15" customHeight="1">
      <c r="B19" s="19">
        <v>41184</v>
      </c>
      <c r="D19" t="s">
        <v>102</v>
      </c>
      <c r="F19" s="21">
        <v>25000</v>
      </c>
      <c r="H19" s="21">
        <f t="shared" si="1"/>
        <v>345000</v>
      </c>
      <c r="M19" s="156">
        <v>25000</v>
      </c>
    </row>
    <row r="20" spans="2:13" ht="15" customHeight="1">
      <c r="B20" s="19">
        <v>41251</v>
      </c>
      <c r="D20" t="s">
        <v>372</v>
      </c>
      <c r="F20" s="21">
        <v>50000</v>
      </c>
      <c r="H20" s="21">
        <f t="shared" si="1"/>
        <v>395000</v>
      </c>
      <c r="M20" s="156">
        <v>25000</v>
      </c>
    </row>
    <row r="21" spans="2:13" ht="15" customHeight="1">
      <c r="B21" s="19">
        <v>41274</v>
      </c>
      <c r="D21" t="s">
        <v>392</v>
      </c>
      <c r="F21" s="21">
        <v>31356.402313027007</v>
      </c>
      <c r="H21" s="21">
        <f t="shared" si="1"/>
        <v>426356.40231302701</v>
      </c>
      <c r="M21" s="156">
        <v>25000</v>
      </c>
    </row>
    <row r="22" spans="2:13" ht="15" customHeight="1">
      <c r="B22" s="19">
        <v>41281</v>
      </c>
      <c r="D22" t="s">
        <v>397</v>
      </c>
      <c r="F22" s="21">
        <v>25000</v>
      </c>
      <c r="H22" s="21">
        <f t="shared" si="1"/>
        <v>451356.40231302701</v>
      </c>
      <c r="M22" s="156">
        <v>50000</v>
      </c>
    </row>
    <row r="23" spans="2:13" ht="15" customHeight="1">
      <c r="B23" s="19">
        <v>41310</v>
      </c>
      <c r="D23" t="s">
        <v>400</v>
      </c>
      <c r="F23" s="21">
        <v>25000</v>
      </c>
      <c r="H23" s="21">
        <f t="shared" si="1"/>
        <v>476356.40231302701</v>
      </c>
      <c r="M23" s="156">
        <v>25000</v>
      </c>
    </row>
    <row r="24" spans="2:13" ht="15" customHeight="1">
      <c r="B24" s="19">
        <v>41340</v>
      </c>
      <c r="D24" t="s">
        <v>408</v>
      </c>
      <c r="F24" s="21">
        <v>25000</v>
      </c>
      <c r="H24" s="21">
        <f t="shared" si="1"/>
        <v>501356.40231302701</v>
      </c>
      <c r="M24" s="156">
        <v>25000</v>
      </c>
    </row>
    <row r="25" spans="2:13" ht="15" customHeight="1">
      <c r="B25" s="19">
        <v>41367</v>
      </c>
      <c r="D25" t="s">
        <v>418</v>
      </c>
      <c r="F25" s="21">
        <v>25000</v>
      </c>
      <c r="H25" s="21">
        <f t="shared" si="1"/>
        <v>526356.40231302707</v>
      </c>
      <c r="M25" s="156">
        <v>25000</v>
      </c>
    </row>
    <row r="26" spans="2:13" ht="15" customHeight="1">
      <c r="B26" s="19">
        <v>41402</v>
      </c>
      <c r="D26" t="s">
        <v>430</v>
      </c>
      <c r="F26" s="21">
        <v>25000</v>
      </c>
      <c r="H26" s="21">
        <f t="shared" si="1"/>
        <v>551356.40231302707</v>
      </c>
      <c r="M26" s="156">
        <v>25000</v>
      </c>
    </row>
    <row r="27" spans="2:13" ht="15" customHeight="1">
      <c r="B27" s="19">
        <v>41437</v>
      </c>
      <c r="D27" t="s">
        <v>444</v>
      </c>
      <c r="F27" s="21">
        <v>25000</v>
      </c>
      <c r="H27" s="21">
        <f t="shared" si="1"/>
        <v>576356.40231302707</v>
      </c>
      <c r="M27" s="156">
        <v>50000</v>
      </c>
    </row>
    <row r="28" spans="2:13" ht="15" customHeight="1">
      <c r="B28" s="19">
        <v>41463</v>
      </c>
      <c r="D28" s="93" t="s">
        <v>458</v>
      </c>
      <c r="F28" s="21">
        <v>25000</v>
      </c>
      <c r="H28" s="21">
        <f t="shared" si="1"/>
        <v>601356.40231302707</v>
      </c>
      <c r="M28" s="156">
        <v>50000</v>
      </c>
    </row>
    <row r="29" spans="2:13" ht="15" customHeight="1">
      <c r="B29" s="143">
        <v>41523</v>
      </c>
      <c r="C29" s="144" t="s">
        <v>476</v>
      </c>
      <c r="D29" s="145"/>
      <c r="F29" s="23">
        <v>25000</v>
      </c>
      <c r="H29" s="21">
        <f t="shared" si="1"/>
        <v>626356.40231302707</v>
      </c>
      <c r="M29" s="156">
        <v>50000</v>
      </c>
    </row>
    <row r="30" spans="2:13" ht="15" customHeight="1">
      <c r="B30" s="143">
        <v>41580</v>
      </c>
      <c r="C30" t="s">
        <v>486</v>
      </c>
      <c r="F30" s="21">
        <v>50000</v>
      </c>
      <c r="H30" s="21">
        <f t="shared" ref="H30:H47" si="2">H29+F30-G30</f>
        <v>676356.40231302707</v>
      </c>
      <c r="M30" s="156">
        <v>-300000</v>
      </c>
    </row>
    <row r="31" spans="2:13" ht="15" customHeight="1">
      <c r="B31" s="143">
        <v>41620</v>
      </c>
      <c r="C31" s="144"/>
      <c r="D31" s="145" t="s">
        <v>286</v>
      </c>
      <c r="F31" s="23">
        <v>25000</v>
      </c>
      <c r="H31" s="21">
        <f t="shared" si="2"/>
        <v>701356.40231302707</v>
      </c>
      <c r="M31" s="156">
        <v>-200000</v>
      </c>
    </row>
    <row r="32" spans="2:13" ht="15" customHeight="1">
      <c r="B32" s="143">
        <v>41640</v>
      </c>
      <c r="C32" s="144"/>
      <c r="D32" s="168" t="s">
        <v>499</v>
      </c>
      <c r="F32" s="86">
        <v>68394.9710886463</v>
      </c>
      <c r="H32" s="21">
        <f t="shared" si="2"/>
        <v>769751.37340167339</v>
      </c>
    </row>
    <row r="33" spans="2:8" ht="15" customHeight="1">
      <c r="B33" s="19">
        <v>41645</v>
      </c>
      <c r="D33" s="168" t="s">
        <v>509</v>
      </c>
      <c r="F33" s="23">
        <v>25000</v>
      </c>
      <c r="H33" s="21">
        <f t="shared" si="2"/>
        <v>794751.37340167339</v>
      </c>
    </row>
    <row r="34" spans="2:8" ht="15" customHeight="1">
      <c r="B34" s="19">
        <v>41681</v>
      </c>
      <c r="C34" s="144"/>
      <c r="D34" s="168" t="s">
        <v>521</v>
      </c>
      <c r="F34" s="23">
        <v>25000</v>
      </c>
      <c r="H34" s="21">
        <f t="shared" si="2"/>
        <v>819751.37340167339</v>
      </c>
    </row>
    <row r="35" spans="2:8" ht="15" customHeight="1">
      <c r="B35" s="19">
        <v>41702</v>
      </c>
      <c r="C35" s="144"/>
      <c r="D35" s="168" t="s">
        <v>524</v>
      </c>
      <c r="F35" s="23">
        <v>25000</v>
      </c>
      <c r="H35" s="21">
        <f t="shared" si="2"/>
        <v>844751.37340167339</v>
      </c>
    </row>
    <row r="36" spans="2:8" ht="15" customHeight="1">
      <c r="B36" s="19">
        <v>41832</v>
      </c>
      <c r="C36" s="144"/>
      <c r="D36" s="168" t="s">
        <v>545</v>
      </c>
      <c r="F36" s="23">
        <v>25000</v>
      </c>
      <c r="H36" s="21">
        <f t="shared" si="2"/>
        <v>869751.37340167339</v>
      </c>
    </row>
    <row r="37" spans="2:8" ht="15" customHeight="1">
      <c r="B37" s="19">
        <v>41900</v>
      </c>
      <c r="C37" s="144"/>
      <c r="D37" s="168" t="s">
        <v>555</v>
      </c>
      <c r="F37" s="23">
        <v>50000</v>
      </c>
      <c r="H37" s="21">
        <f t="shared" si="2"/>
        <v>919751.37340167339</v>
      </c>
    </row>
    <row r="38" spans="2:8" ht="15" customHeight="1">
      <c r="B38" s="19">
        <v>41932</v>
      </c>
      <c r="C38" s="144"/>
      <c r="D38" s="168" t="s">
        <v>598</v>
      </c>
      <c r="F38" s="23">
        <v>25000</v>
      </c>
      <c r="H38" s="21">
        <f t="shared" si="2"/>
        <v>944751.37340167339</v>
      </c>
    </row>
    <row r="39" spans="2:8" ht="15" customHeight="1">
      <c r="B39" s="19">
        <v>41953</v>
      </c>
      <c r="C39" s="144"/>
      <c r="D39" s="168" t="s">
        <v>534</v>
      </c>
      <c r="F39" s="23">
        <v>25000</v>
      </c>
      <c r="H39" s="21">
        <f t="shared" si="2"/>
        <v>969751.37340167339</v>
      </c>
    </row>
    <row r="40" spans="2:8" ht="15" customHeight="1">
      <c r="B40" s="19">
        <v>42005</v>
      </c>
      <c r="C40" s="144"/>
      <c r="D40" s="168" t="s">
        <v>591</v>
      </c>
      <c r="F40" s="23">
        <v>49669.108034649864</v>
      </c>
      <c r="H40" s="21">
        <f t="shared" si="2"/>
        <v>1019420.4814363233</v>
      </c>
    </row>
    <row r="41" spans="2:8" ht="15" customHeight="1">
      <c r="B41" s="19">
        <v>42112</v>
      </c>
      <c r="C41" s="144"/>
      <c r="D41" s="168" t="s">
        <v>286</v>
      </c>
      <c r="F41" s="23">
        <v>25000</v>
      </c>
      <c r="H41" s="21">
        <f t="shared" si="2"/>
        <v>1044420.4814363233</v>
      </c>
    </row>
    <row r="42" spans="2:8" ht="15" customHeight="1">
      <c r="B42" s="19">
        <v>42144</v>
      </c>
      <c r="C42" s="144"/>
      <c r="D42" s="168" t="s">
        <v>286</v>
      </c>
      <c r="F42" s="23">
        <v>25000</v>
      </c>
      <c r="H42" s="21">
        <f t="shared" si="2"/>
        <v>1069420.4814363234</v>
      </c>
    </row>
    <row r="43" spans="2:8" ht="15" customHeight="1">
      <c r="B43" s="19">
        <v>42187</v>
      </c>
      <c r="C43" s="144"/>
      <c r="D43" s="168" t="s">
        <v>286</v>
      </c>
      <c r="F43" s="23">
        <v>50000</v>
      </c>
      <c r="H43" s="21">
        <f t="shared" si="2"/>
        <v>1119420.4814363234</v>
      </c>
    </row>
    <row r="44" spans="2:8" ht="15" customHeight="1">
      <c r="B44" s="19">
        <v>42269</v>
      </c>
      <c r="C44" s="144"/>
      <c r="D44" s="168" t="s">
        <v>286</v>
      </c>
      <c r="F44" s="23">
        <v>50000</v>
      </c>
      <c r="H44" s="21">
        <f t="shared" si="2"/>
        <v>1169420.4814363234</v>
      </c>
    </row>
    <row r="45" spans="2:8" ht="15" customHeight="1">
      <c r="B45" s="19">
        <v>42326</v>
      </c>
      <c r="D45" s="168" t="s">
        <v>286</v>
      </c>
      <c r="E45" t="s">
        <v>668</v>
      </c>
      <c r="F45" s="21">
        <v>50000</v>
      </c>
      <c r="H45" s="21">
        <f t="shared" si="2"/>
        <v>1219420.4814363234</v>
      </c>
    </row>
    <row r="46" spans="2:8" ht="15" customHeight="1">
      <c r="B46" s="19">
        <v>42917</v>
      </c>
      <c r="D46" s="168" t="s">
        <v>804</v>
      </c>
      <c r="G46" s="21">
        <v>200000</v>
      </c>
      <c r="H46" s="21">
        <f t="shared" si="2"/>
        <v>1019420.4814363234</v>
      </c>
    </row>
    <row r="47" spans="2:8" ht="15" customHeight="1">
      <c r="B47" s="19">
        <v>42917</v>
      </c>
      <c r="D47" t="s">
        <v>803</v>
      </c>
      <c r="F47" s="21">
        <v>300000</v>
      </c>
      <c r="G47" s="21">
        <v>300000</v>
      </c>
      <c r="H47" s="21">
        <f t="shared" si="2"/>
        <v>1019420.4814363234</v>
      </c>
    </row>
    <row r="48" spans="2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5" spans="4:16" ht="15" customHeight="1">
      <c r="D65" s="76" t="s">
        <v>307</v>
      </c>
      <c r="E65" s="48"/>
      <c r="F65" s="53">
        <f>SUM(F15:F64)</f>
        <v>1519420.4814363234</v>
      </c>
      <c r="G65" s="53">
        <f>SUM(G15:G64)</f>
        <v>500000</v>
      </c>
      <c r="H65" s="77">
        <f>F65-G65</f>
        <v>1019420.4814363234</v>
      </c>
      <c r="L65" s="156">
        <f>SUM(L3:L11)</f>
        <v>500000</v>
      </c>
      <c r="M65" s="156">
        <f>SUM(M3:M51)</f>
        <v>370000</v>
      </c>
      <c r="N65" s="92">
        <f>SUM(N3:N11)</f>
        <v>0</v>
      </c>
      <c r="O65" s="156">
        <f>SUM(O3:O11)</f>
        <v>149420.48143632317</v>
      </c>
      <c r="P65" s="92">
        <f>SUM(P3:P11)</f>
        <v>0</v>
      </c>
    </row>
    <row r="66" spans="4:16">
      <c r="P66" s="92">
        <f>SUM(L65:P65)</f>
        <v>1019420.4814363231</v>
      </c>
    </row>
  </sheetData>
  <mergeCells count="1">
    <mergeCell ref="L1:P1"/>
  </mergeCells>
  <phoneticPr fontId="7" type="noConversion"/>
  <pageMargins left="0.74803149606299213" right="0.74803149606299213" top="0.98425196850393704" bottom="0.98425196850393704" header="0.51181102362204722" footer="0.51181102362204722"/>
  <pageSetup paperSize="9" scale="80" orientation="landscape" horizontalDpi="4294967293" verticalDpi="0" r:id="rId1"/>
  <headerFooter alignWithMargins="0"/>
  <legacyDrawing r:id="rId2"/>
  <oleObjects>
    <oleObject progId="CorelDRAW.Graphic.11" shapeId="36865" r:id="rId3"/>
    <oleObject progId="CorelDRAW.Graphic.11" shapeId="36866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tabColor rgb="FF00B0F0"/>
  </sheetPr>
  <dimension ref="B1:P51"/>
  <sheetViews>
    <sheetView topLeftCell="A16" workbookViewId="0">
      <selection activeCell="H37" sqref="H37"/>
    </sheetView>
  </sheetViews>
  <sheetFormatPr defaultRowHeight="12.75"/>
  <cols>
    <col min="1" max="1" width="1.7109375" customWidth="1"/>
    <col min="2" max="2" width="11.28515625" style="19" customWidth="1"/>
    <col min="3" max="3" width="2.28515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13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64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t="s">
        <v>103</v>
      </c>
      <c r="G3" s="18" t="s">
        <v>61</v>
      </c>
      <c r="H3" s="21" t="s">
        <v>18</v>
      </c>
      <c r="L3" s="92">
        <f>F15</f>
        <v>50000</v>
      </c>
      <c r="M3" s="92">
        <f>F18</f>
        <v>150000</v>
      </c>
      <c r="N3" s="156">
        <v>500000</v>
      </c>
      <c r="O3" s="92">
        <f>F20</f>
        <v>53583.72547162843</v>
      </c>
      <c r="P3" s="92">
        <v>0</v>
      </c>
    </row>
    <row r="4" spans="2:16">
      <c r="D4" t="s">
        <v>52</v>
      </c>
      <c r="G4" s="18" t="s">
        <v>99</v>
      </c>
      <c r="L4" s="92">
        <f>F16</f>
        <v>100000</v>
      </c>
      <c r="M4" s="92">
        <f>F19</f>
        <v>25000</v>
      </c>
      <c r="N4" s="92">
        <v>170000</v>
      </c>
      <c r="O4" s="92">
        <v>50.128971446400001</v>
      </c>
    </row>
    <row r="5" spans="2:16">
      <c r="G5" s="18"/>
      <c r="L5" s="92">
        <f>F17</f>
        <v>350000</v>
      </c>
      <c r="M5" s="92">
        <f>F23</f>
        <v>500000</v>
      </c>
      <c r="N5" s="30">
        <v>-100000</v>
      </c>
      <c r="O5" s="161">
        <v>88537.850034189134</v>
      </c>
    </row>
    <row r="6" spans="2:16">
      <c r="G6" s="18" t="s">
        <v>100</v>
      </c>
      <c r="M6" s="92">
        <f>F26</f>
        <v>225000</v>
      </c>
      <c r="N6" s="30">
        <v>-100000</v>
      </c>
      <c r="O6" s="21">
        <v>86087.405503083181</v>
      </c>
    </row>
    <row r="7" spans="2:16">
      <c r="G7" s="24" t="s">
        <v>55</v>
      </c>
      <c r="M7" s="161">
        <v>810000</v>
      </c>
      <c r="O7" s="21">
        <v>112407.04257908765</v>
      </c>
    </row>
    <row r="8" spans="2:16">
      <c r="G8" s="18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40637</v>
      </c>
      <c r="D15" t="s">
        <v>59</v>
      </c>
      <c r="F15" s="21">
        <v>50000</v>
      </c>
      <c r="G15" s="22"/>
      <c r="H15" s="21">
        <f>F15-G15</f>
        <v>50000</v>
      </c>
    </row>
    <row r="16" spans="2:16" ht="15" customHeight="1">
      <c r="B16" s="19">
        <v>40725</v>
      </c>
      <c r="D16" t="s">
        <v>59</v>
      </c>
      <c r="F16" s="21">
        <v>100000</v>
      </c>
      <c r="H16" s="21">
        <f t="shared" ref="H16:H21" si="0">(H15+F16)-G16</f>
        <v>150000</v>
      </c>
    </row>
    <row r="17" spans="2:8" ht="15" customHeight="1">
      <c r="B17" s="19">
        <v>41068</v>
      </c>
      <c r="D17" t="s">
        <v>59</v>
      </c>
      <c r="F17" s="21">
        <v>350000</v>
      </c>
      <c r="H17" s="21">
        <f t="shared" si="0"/>
        <v>500000</v>
      </c>
    </row>
    <row r="18" spans="2:8" ht="15" customHeight="1">
      <c r="B18" s="19">
        <v>41068</v>
      </c>
      <c r="D18" t="s">
        <v>102</v>
      </c>
      <c r="F18" s="21">
        <v>150000</v>
      </c>
      <c r="H18" s="21">
        <f t="shared" si="0"/>
        <v>650000</v>
      </c>
    </row>
    <row r="19" spans="2:8" ht="15" customHeight="1">
      <c r="B19" s="19">
        <v>41093</v>
      </c>
      <c r="D19" t="s">
        <v>102</v>
      </c>
      <c r="F19" s="21">
        <v>25000</v>
      </c>
      <c r="H19" s="21">
        <f t="shared" si="0"/>
        <v>675000</v>
      </c>
    </row>
    <row r="20" spans="2:8" ht="15" customHeight="1">
      <c r="B20" s="19">
        <v>41274</v>
      </c>
      <c r="D20" t="s">
        <v>392</v>
      </c>
      <c r="F20" s="21">
        <v>53583.72547162843</v>
      </c>
      <c r="H20" s="21">
        <f t="shared" si="0"/>
        <v>728583.72547162848</v>
      </c>
    </row>
    <row r="21" spans="2:8" ht="15" customHeight="1">
      <c r="B21" s="19">
        <v>41640</v>
      </c>
      <c r="D21" t="s">
        <v>499</v>
      </c>
      <c r="F21" s="21">
        <v>71050.128971446436</v>
      </c>
      <c r="H21" s="21">
        <f t="shared" si="0"/>
        <v>799633.8544430749</v>
      </c>
    </row>
    <row r="22" spans="2:8" ht="15" customHeight="1">
      <c r="B22" s="19">
        <v>41640</v>
      </c>
      <c r="D22" t="s">
        <v>503</v>
      </c>
      <c r="G22" s="21">
        <v>71000</v>
      </c>
      <c r="H22" s="21">
        <f>(H21+F22)-G22</f>
        <v>728633.8544430749</v>
      </c>
    </row>
    <row r="23" spans="2:8" ht="15" customHeight="1">
      <c r="B23" s="19">
        <v>41677</v>
      </c>
      <c r="D23" t="s">
        <v>515</v>
      </c>
      <c r="F23" s="21">
        <v>500000</v>
      </c>
      <c r="H23" s="21">
        <f>(H22+F23)-G23</f>
        <v>1228633.8544430749</v>
      </c>
    </row>
    <row r="24" spans="2:8" ht="15" customHeight="1">
      <c r="B24" s="19">
        <v>41677</v>
      </c>
      <c r="D24" t="s">
        <v>439</v>
      </c>
      <c r="F24" s="21">
        <v>500000</v>
      </c>
      <c r="H24" s="21">
        <f>(H23+F24)-G24</f>
        <v>1728633.8544430749</v>
      </c>
    </row>
    <row r="25" spans="2:8" ht="15" customHeight="1">
      <c r="B25" s="19">
        <v>42005</v>
      </c>
      <c r="D25" t="s">
        <v>591</v>
      </c>
      <c r="F25" s="21">
        <v>88537.850034189134</v>
      </c>
      <c r="H25" s="21">
        <f t="shared" ref="H25:H32" si="1">(H24+F25)-G25</f>
        <v>1817171.7044772641</v>
      </c>
    </row>
    <row r="26" spans="2:8" ht="15" customHeight="1">
      <c r="B26" s="19">
        <v>42019</v>
      </c>
      <c r="D26" t="s">
        <v>540</v>
      </c>
      <c r="F26" s="21">
        <v>225000</v>
      </c>
      <c r="H26" s="21">
        <f t="shared" si="1"/>
        <v>2042171.7044772641</v>
      </c>
    </row>
    <row r="27" spans="2:8" ht="15" customHeight="1">
      <c r="B27" s="19">
        <v>42218</v>
      </c>
      <c r="D27" s="55" t="s">
        <v>439</v>
      </c>
      <c r="F27" s="21">
        <v>170000</v>
      </c>
      <c r="H27" s="21">
        <f t="shared" si="1"/>
        <v>2212171.7044772641</v>
      </c>
    </row>
    <row r="28" spans="2:8" ht="15" customHeight="1">
      <c r="B28" s="19">
        <v>43100</v>
      </c>
      <c r="D28" s="55" t="s">
        <v>686</v>
      </c>
      <c r="F28" s="21">
        <v>86087.405503083181</v>
      </c>
      <c r="H28" s="21">
        <f t="shared" si="1"/>
        <v>2298259.1099803471</v>
      </c>
    </row>
    <row r="29" spans="2:8" ht="15" customHeight="1">
      <c r="B29" s="54">
        <v>43100</v>
      </c>
      <c r="D29" s="55" t="s">
        <v>726</v>
      </c>
      <c r="F29" s="21">
        <v>112407.04257908765</v>
      </c>
      <c r="H29" s="21">
        <f t="shared" si="1"/>
        <v>2410666.1525594345</v>
      </c>
    </row>
    <row r="30" spans="2:8" ht="15" customHeight="1">
      <c r="B30" s="337">
        <v>42917</v>
      </c>
      <c r="D30" t="s">
        <v>762</v>
      </c>
      <c r="G30" s="21">
        <v>100000</v>
      </c>
      <c r="H30" s="21">
        <f t="shared" si="1"/>
        <v>2310666.1525594345</v>
      </c>
    </row>
    <row r="31" spans="2:8" ht="15" customHeight="1">
      <c r="B31" s="337">
        <v>42917</v>
      </c>
      <c r="D31" t="s">
        <v>763</v>
      </c>
      <c r="G31" s="21">
        <v>100000</v>
      </c>
      <c r="H31" s="21">
        <f t="shared" si="1"/>
        <v>2210666.1525594345</v>
      </c>
    </row>
    <row r="32" spans="2:8" ht="15" customHeight="1">
      <c r="B32" s="19">
        <v>43900</v>
      </c>
      <c r="D32" t="s">
        <v>1129</v>
      </c>
      <c r="E32" t="s">
        <v>1126</v>
      </c>
      <c r="F32" s="21">
        <v>810000</v>
      </c>
      <c r="H32" s="21">
        <f t="shared" si="1"/>
        <v>3020666.1525594345</v>
      </c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3291666.1525594345</v>
      </c>
      <c r="G50" s="53">
        <f>SUM(G15:G49)</f>
        <v>271000</v>
      </c>
      <c r="H50" s="77">
        <f>F50-G50</f>
        <v>3020666.1525594345</v>
      </c>
      <c r="L50" s="92">
        <f>SUM(L3:L11)</f>
        <v>500000</v>
      </c>
      <c r="M50" s="92">
        <f>SUM(M3:M11)</f>
        <v>1710000</v>
      </c>
      <c r="N50" s="92">
        <f>SUM(N3:N11)</f>
        <v>470000</v>
      </c>
      <c r="O50" s="92">
        <f>SUM(O3:O11)</f>
        <v>340666.15255943482</v>
      </c>
      <c r="P50" s="92">
        <f>SUM(P3:P11)</f>
        <v>0</v>
      </c>
    </row>
    <row r="51" spans="4:16">
      <c r="P51" s="92">
        <f>SUM(L50:P50)</f>
        <v>3020666.152559435</v>
      </c>
    </row>
  </sheetData>
  <mergeCells count="1">
    <mergeCell ref="L1:P1"/>
  </mergeCells>
  <phoneticPr fontId="0" type="noConversion"/>
  <pageMargins left="0.28000000000000003" right="0.5" top="0.34" bottom="1" header="0.26" footer="0.5"/>
  <pageSetup paperSize="9" scale="95" orientation="landscape" horizontalDpi="4294967293" r:id="rId1"/>
  <headerFooter alignWithMargins="0"/>
  <legacyDrawing r:id="rId2"/>
  <oleObjects>
    <oleObject progId="CorelDRAW.Graphic.11" shapeId="9217" r:id="rId3"/>
    <oleObject progId="CorelDRAW.Graphic.11" shapeId="9218" r:id="rId4"/>
    <oleObject progId="CorelDRAW.Graphic.11" shapeId="9219" r:id="rId5"/>
  </oleObjects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F0"/>
  </sheetPr>
  <dimension ref="B1:P52"/>
  <sheetViews>
    <sheetView topLeftCell="A22" workbookViewId="0">
      <selection activeCell="O6" sqref="O6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330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88" t="s">
        <v>146</v>
      </c>
      <c r="G2" s="18" t="s">
        <v>53</v>
      </c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t="s">
        <v>332</v>
      </c>
      <c r="G3" s="18" t="s">
        <v>61</v>
      </c>
      <c r="H3" t="s">
        <v>331</v>
      </c>
      <c r="L3" s="92">
        <f>F15</f>
        <v>500000</v>
      </c>
      <c r="M3" s="156">
        <f>F16</f>
        <v>25000</v>
      </c>
      <c r="N3" s="92">
        <f>F17</f>
        <v>20000</v>
      </c>
      <c r="O3" s="92">
        <v>28985.349463260587</v>
      </c>
      <c r="P3" s="92"/>
    </row>
    <row r="4" spans="2:16">
      <c r="D4" t="s">
        <v>52</v>
      </c>
      <c r="G4" s="89" t="s">
        <v>333</v>
      </c>
      <c r="M4" s="156">
        <f>F18</f>
        <v>25000</v>
      </c>
      <c r="N4" s="92">
        <f>F27</f>
        <v>7000</v>
      </c>
      <c r="O4" s="161">
        <v>93908.539108100624</v>
      </c>
    </row>
    <row r="5" spans="2:16">
      <c r="G5" s="18"/>
      <c r="M5" s="156">
        <f>F19</f>
        <v>25000</v>
      </c>
      <c r="N5" s="92">
        <f>F29</f>
        <v>32000</v>
      </c>
      <c r="O5" s="30">
        <v>0</v>
      </c>
    </row>
    <row r="6" spans="2:16">
      <c r="G6" s="89" t="s">
        <v>334</v>
      </c>
      <c r="M6" s="156">
        <f>F20</f>
        <v>25000</v>
      </c>
      <c r="O6" s="321">
        <v>49369.097068099181</v>
      </c>
    </row>
    <row r="7" spans="2:16">
      <c r="G7" s="24" t="s">
        <v>55</v>
      </c>
      <c r="M7" s="156">
        <f>F21</f>
        <v>25000</v>
      </c>
      <c r="O7" s="161">
        <v>58889.13777076541</v>
      </c>
    </row>
    <row r="8" spans="2:16">
      <c r="G8" s="18"/>
      <c r="M8" s="156">
        <f>F22</f>
        <v>50000</v>
      </c>
      <c r="O8" s="161">
        <v>76893.405930407695</v>
      </c>
    </row>
    <row r="9" spans="2:16">
      <c r="M9" s="156">
        <f>F24</f>
        <v>25000</v>
      </c>
      <c r="O9" s="30">
        <v>-100000</v>
      </c>
    </row>
    <row r="10" spans="2:16">
      <c r="M10" s="156">
        <f>F25</f>
        <v>25000</v>
      </c>
      <c r="O10" s="30">
        <v>-100000</v>
      </c>
    </row>
    <row r="11" spans="2:16">
      <c r="G11" s="18" t="s">
        <v>56</v>
      </c>
      <c r="M11" s="156">
        <f>F26</f>
        <v>25000</v>
      </c>
    </row>
    <row r="12" spans="2:16">
      <c r="M12" s="156">
        <f>F28</f>
        <v>25000</v>
      </c>
    </row>
    <row r="13" spans="2:16">
      <c r="M13" s="156">
        <f>F30</f>
        <v>100000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200000</v>
      </c>
    </row>
    <row r="15" spans="2:16" ht="15" customHeight="1">
      <c r="B15" s="19">
        <v>41061</v>
      </c>
      <c r="D15" t="s">
        <v>59</v>
      </c>
      <c r="F15" s="21">
        <v>500000</v>
      </c>
      <c r="G15" s="22"/>
      <c r="H15" s="21">
        <f>F15-G15</f>
        <v>500000</v>
      </c>
      <c r="M15" s="156">
        <v>300000</v>
      </c>
    </row>
    <row r="16" spans="2:16" ht="15" customHeight="1">
      <c r="B16" s="19">
        <v>41061</v>
      </c>
      <c r="D16" t="s">
        <v>102</v>
      </c>
      <c r="F16" s="21">
        <v>25000</v>
      </c>
      <c r="H16" s="21">
        <f t="shared" ref="H16:H39" si="0">H15+F16-G16</f>
        <v>525000</v>
      </c>
    </row>
    <row r="17" spans="2:8" ht="15" customHeight="1">
      <c r="B17" s="19">
        <v>41061</v>
      </c>
      <c r="D17" t="s">
        <v>102</v>
      </c>
      <c r="F17" s="21">
        <v>20000</v>
      </c>
      <c r="H17" s="21">
        <f t="shared" si="0"/>
        <v>545000</v>
      </c>
    </row>
    <row r="18" spans="2:8" ht="15" customHeight="1">
      <c r="B18" s="19">
        <v>41088</v>
      </c>
      <c r="D18" t="s">
        <v>102</v>
      </c>
      <c r="F18" s="21">
        <v>25000</v>
      </c>
      <c r="H18" s="21">
        <f t="shared" si="0"/>
        <v>570000</v>
      </c>
    </row>
    <row r="19" spans="2:8" ht="15" customHeight="1">
      <c r="B19" s="19">
        <v>41128</v>
      </c>
      <c r="D19" t="s">
        <v>102</v>
      </c>
      <c r="F19" s="21">
        <v>25000</v>
      </c>
      <c r="H19" s="21">
        <f t="shared" si="0"/>
        <v>595000</v>
      </c>
    </row>
    <row r="20" spans="2:8" ht="15" customHeight="1">
      <c r="B20" s="19">
        <v>41151</v>
      </c>
      <c r="D20" t="s">
        <v>102</v>
      </c>
      <c r="F20" s="21">
        <v>25000</v>
      </c>
      <c r="H20" s="21">
        <f t="shared" si="0"/>
        <v>620000</v>
      </c>
    </row>
    <row r="21" spans="2:8" ht="15" customHeight="1">
      <c r="B21" s="19">
        <v>41180</v>
      </c>
      <c r="D21" t="s">
        <v>102</v>
      </c>
      <c r="F21" s="21">
        <v>25000</v>
      </c>
      <c r="H21" s="21">
        <f t="shared" si="0"/>
        <v>645000</v>
      </c>
    </row>
    <row r="22" spans="2:8" ht="15" customHeight="1">
      <c r="B22" s="19">
        <v>41254</v>
      </c>
      <c r="D22" t="s">
        <v>102</v>
      </c>
      <c r="F22" s="21">
        <v>50000</v>
      </c>
      <c r="H22" s="21">
        <f t="shared" si="0"/>
        <v>695000</v>
      </c>
    </row>
    <row r="23" spans="2:8" ht="15" customHeight="1">
      <c r="B23" s="19">
        <v>41274</v>
      </c>
      <c r="D23" t="s">
        <v>392</v>
      </c>
      <c r="F23" s="21">
        <v>28985.349463260587</v>
      </c>
      <c r="H23" s="21">
        <f t="shared" si="0"/>
        <v>723985.34946326062</v>
      </c>
    </row>
    <row r="24" spans="2:8" ht="15" customHeight="1">
      <c r="B24" s="19">
        <v>41283</v>
      </c>
      <c r="D24" t="s">
        <v>102</v>
      </c>
      <c r="F24" s="21">
        <v>25000</v>
      </c>
      <c r="H24" s="21">
        <f t="shared" si="0"/>
        <v>748985.34946326062</v>
      </c>
    </row>
    <row r="25" spans="2:8" ht="15" customHeight="1">
      <c r="B25" s="19">
        <v>41314</v>
      </c>
      <c r="D25" t="s">
        <v>102</v>
      </c>
      <c r="F25" s="21">
        <v>25000</v>
      </c>
      <c r="H25" s="21">
        <f t="shared" si="0"/>
        <v>773985.34946326062</v>
      </c>
    </row>
    <row r="26" spans="2:8" ht="15" customHeight="1">
      <c r="B26" s="19">
        <v>41338</v>
      </c>
      <c r="D26" t="s">
        <v>102</v>
      </c>
      <c r="F26" s="21">
        <v>25000</v>
      </c>
      <c r="H26" s="21">
        <f t="shared" si="0"/>
        <v>798985.34946326062</v>
      </c>
    </row>
    <row r="27" spans="2:8" ht="15" customHeight="1">
      <c r="B27" s="19">
        <v>41338</v>
      </c>
      <c r="D27" t="s">
        <v>110</v>
      </c>
      <c r="F27" s="21">
        <v>7000</v>
      </c>
      <c r="H27" s="21">
        <f t="shared" si="0"/>
        <v>805985.34946326062</v>
      </c>
    </row>
    <row r="28" spans="2:8" ht="15" customHeight="1">
      <c r="B28" s="19">
        <v>41390</v>
      </c>
      <c r="D28" t="s">
        <v>102</v>
      </c>
      <c r="F28" s="21">
        <v>25000</v>
      </c>
      <c r="H28" s="21">
        <f t="shared" si="0"/>
        <v>830985.34946326062</v>
      </c>
    </row>
    <row r="29" spans="2:8" ht="15" customHeight="1">
      <c r="B29" s="19">
        <v>41390</v>
      </c>
      <c r="D29" t="s">
        <v>110</v>
      </c>
      <c r="F29" s="21">
        <v>32000</v>
      </c>
      <c r="H29" s="21">
        <f t="shared" si="0"/>
        <v>862985.34946326062</v>
      </c>
    </row>
    <row r="30" spans="2:8" ht="15" customHeight="1">
      <c r="B30" s="143">
        <v>41534</v>
      </c>
      <c r="C30" s="144" t="s">
        <v>480</v>
      </c>
      <c r="D30" s="145"/>
      <c r="F30" s="23">
        <v>100000</v>
      </c>
      <c r="H30" s="21">
        <f t="shared" si="0"/>
        <v>962985.34946326062</v>
      </c>
    </row>
    <row r="31" spans="2:8" ht="15" customHeight="1">
      <c r="B31" s="19">
        <v>41640</v>
      </c>
      <c r="D31" s="55" t="s">
        <v>499</v>
      </c>
      <c r="F31" s="320">
        <v>93908.539108100624</v>
      </c>
      <c r="G31" s="320"/>
      <c r="H31" s="21">
        <f t="shared" si="0"/>
        <v>1056893.8885713613</v>
      </c>
    </row>
    <row r="32" spans="2:8" ht="15" customHeight="1">
      <c r="B32" s="336">
        <v>41640</v>
      </c>
      <c r="D32" s="55" t="s">
        <v>503</v>
      </c>
      <c r="F32" s="320"/>
      <c r="G32" s="320">
        <v>0</v>
      </c>
      <c r="H32" s="21">
        <f t="shared" si="0"/>
        <v>1056893.8885713613</v>
      </c>
    </row>
    <row r="33" spans="2:8" ht="15" customHeight="1">
      <c r="B33" s="19">
        <v>42004</v>
      </c>
      <c r="D33" s="55" t="s">
        <v>592</v>
      </c>
      <c r="F33" s="21">
        <v>49369.097068099181</v>
      </c>
      <c r="G33" s="320"/>
      <c r="H33" s="21">
        <f t="shared" si="0"/>
        <v>1106262.9856394604</v>
      </c>
    </row>
    <row r="34" spans="2:8" ht="15" customHeight="1">
      <c r="B34" s="19">
        <v>42164</v>
      </c>
      <c r="D34" t="s">
        <v>636</v>
      </c>
      <c r="F34" s="21">
        <v>200000</v>
      </c>
      <c r="H34" s="21">
        <f t="shared" si="0"/>
        <v>1306262.9856394604</v>
      </c>
    </row>
    <row r="35" spans="2:8" ht="15" customHeight="1">
      <c r="B35" s="19">
        <v>42211</v>
      </c>
      <c r="D35" t="s">
        <v>648</v>
      </c>
      <c r="F35" s="21">
        <v>300000</v>
      </c>
      <c r="H35" s="21">
        <f t="shared" si="0"/>
        <v>1606262.9856394604</v>
      </c>
    </row>
    <row r="36" spans="2:8" ht="15" customHeight="1">
      <c r="B36" s="336">
        <v>42369</v>
      </c>
      <c r="D36" s="55" t="s">
        <v>694</v>
      </c>
      <c r="F36" s="21">
        <v>58889.13777076541</v>
      </c>
      <c r="H36" s="21">
        <f t="shared" si="0"/>
        <v>1665152.1234102258</v>
      </c>
    </row>
    <row r="37" spans="2:8" ht="15" customHeight="1">
      <c r="B37" s="336">
        <v>42735</v>
      </c>
      <c r="D37" s="55" t="s">
        <v>732</v>
      </c>
      <c r="F37" s="21">
        <v>76893.405930407695</v>
      </c>
      <c r="H37" s="21">
        <f t="shared" si="0"/>
        <v>1742045.5293406337</v>
      </c>
    </row>
    <row r="38" spans="2:8" ht="15" customHeight="1">
      <c r="B38" s="337">
        <v>42917</v>
      </c>
      <c r="D38" t="s">
        <v>762</v>
      </c>
      <c r="G38" s="21">
        <v>100000</v>
      </c>
      <c r="H38" s="21">
        <f t="shared" si="0"/>
        <v>1642045.5293406337</v>
      </c>
    </row>
    <row r="39" spans="2:8" ht="15" customHeight="1">
      <c r="B39" s="337">
        <v>42917</v>
      </c>
      <c r="D39" t="s">
        <v>763</v>
      </c>
      <c r="G39" s="21">
        <v>100000</v>
      </c>
      <c r="H39" s="21">
        <f t="shared" si="0"/>
        <v>1542045.5293406337</v>
      </c>
    </row>
    <row r="40" spans="2:8" ht="15" customHeight="1"/>
    <row r="41" spans="2:8" ht="15" customHeight="1"/>
    <row r="42" spans="2:8" ht="15" customHeight="1"/>
    <row r="43" spans="2:8" ht="15" customHeight="1"/>
    <row r="44" spans="2:8" ht="15" customHeight="1"/>
    <row r="45" spans="2:8" ht="15" customHeight="1"/>
    <row r="46" spans="2:8" ht="15" customHeight="1"/>
    <row r="51" spans="4:16" ht="15" customHeight="1">
      <c r="D51" s="76" t="s">
        <v>307</v>
      </c>
      <c r="E51" s="48"/>
      <c r="F51" s="53">
        <f>SUM(F15:F50)</f>
        <v>1742045.5293406337</v>
      </c>
      <c r="G51" s="53">
        <f>SUM(G15:G50)</f>
        <v>200000</v>
      </c>
      <c r="H51" s="77">
        <f>F51-G51</f>
        <v>1542045.5293406337</v>
      </c>
      <c r="L51" s="92">
        <f>SUM(L3:L11)</f>
        <v>500000</v>
      </c>
      <c r="M51" s="156">
        <f>SUM(M3:M50)</f>
        <v>875000</v>
      </c>
      <c r="N51" s="156">
        <f t="shared" ref="N51:O51" si="1">SUM(N3:N50)</f>
        <v>59000</v>
      </c>
      <c r="O51" s="156">
        <f t="shared" si="1"/>
        <v>108045.52934063348</v>
      </c>
      <c r="P51" s="92">
        <f>SUM(P3:P11)</f>
        <v>0</v>
      </c>
    </row>
    <row r="52" spans="4:16">
      <c r="P52" s="92">
        <f>SUM(L51:P51)</f>
        <v>1542045.5293406334</v>
      </c>
    </row>
  </sheetData>
  <mergeCells count="1">
    <mergeCell ref="L1:P1"/>
  </mergeCells>
  <phoneticPr fontId="37" type="noConversion"/>
  <pageMargins left="0.31496062992125984" right="0.70866141732283472" top="0.35433070866141736" bottom="0.35433070866141736" header="0.31496062992125984" footer="0.31496062992125984"/>
  <pageSetup paperSize="9" scale="90"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F0"/>
  </sheetPr>
  <dimension ref="B1:P51"/>
  <sheetViews>
    <sheetView zoomScale="80" zoomScaleNormal="80" workbookViewId="0">
      <selection activeCell="M38" sqref="M38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11.425781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353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88" t="s">
        <v>147</v>
      </c>
      <c r="G2" s="18" t="s">
        <v>53</v>
      </c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t="s">
        <v>350</v>
      </c>
      <c r="G3" s="18" t="s">
        <v>61</v>
      </c>
      <c r="H3" t="s">
        <v>349</v>
      </c>
      <c r="L3" s="92">
        <f>F15</f>
        <v>500000</v>
      </c>
      <c r="M3" s="156">
        <f>F16</f>
        <v>25000</v>
      </c>
      <c r="O3" s="92">
        <f>F20</f>
        <v>18618.544105383215</v>
      </c>
      <c r="P3" s="92"/>
    </row>
    <row r="4" spans="2:16">
      <c r="D4" t="s">
        <v>52</v>
      </c>
      <c r="G4" s="89" t="s">
        <v>351</v>
      </c>
      <c r="M4" s="156">
        <f>F18</f>
        <v>25000</v>
      </c>
      <c r="O4" s="92">
        <v>87144.017345246175</v>
      </c>
    </row>
    <row r="5" spans="2:16">
      <c r="G5" s="18"/>
      <c r="M5" s="156">
        <f>F17</f>
        <v>25000</v>
      </c>
      <c r="O5" s="92">
        <v>-87000</v>
      </c>
    </row>
    <row r="6" spans="2:16">
      <c r="G6" s="89" t="s">
        <v>352</v>
      </c>
      <c r="M6" s="156">
        <f>F19</f>
        <v>50000</v>
      </c>
      <c r="O6" s="21">
        <v>63703.521055552184</v>
      </c>
    </row>
    <row r="7" spans="2:16">
      <c r="G7" s="24" t="s">
        <v>55</v>
      </c>
      <c r="M7" s="156">
        <f>F21</f>
        <v>50000</v>
      </c>
      <c r="O7" s="21">
        <v>50880.482106534451</v>
      </c>
    </row>
    <row r="8" spans="2:16">
      <c r="G8" s="18"/>
      <c r="M8" s="156">
        <f>F22</f>
        <v>50000</v>
      </c>
      <c r="O8" s="21">
        <v>66436.251448986834</v>
      </c>
    </row>
    <row r="9" spans="2:16">
      <c r="M9" s="156">
        <v>150000</v>
      </c>
      <c r="O9" s="51">
        <v>-100000</v>
      </c>
    </row>
    <row r="10" spans="2:16">
      <c r="M10" s="156">
        <v>150000</v>
      </c>
    </row>
    <row r="11" spans="2:16">
      <c r="G11" s="18" t="s">
        <v>56</v>
      </c>
      <c r="M11" s="156">
        <v>100000</v>
      </c>
    </row>
    <row r="12" spans="2:16">
      <c r="M12" s="322">
        <v>100000</v>
      </c>
    </row>
    <row r="13" spans="2:16">
      <c r="M13" s="51">
        <v>-100000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300000</v>
      </c>
    </row>
    <row r="15" spans="2:16" ht="15" customHeight="1">
      <c r="B15" s="19">
        <v>41116</v>
      </c>
      <c r="D15" t="s">
        <v>59</v>
      </c>
      <c r="F15" s="21">
        <v>500000</v>
      </c>
      <c r="G15" s="22"/>
      <c r="H15" s="21">
        <f>F15-G15</f>
        <v>500000</v>
      </c>
      <c r="M15" s="156">
        <v>100000</v>
      </c>
    </row>
    <row r="16" spans="2:16" ht="15" customHeight="1">
      <c r="B16" s="19">
        <v>41116</v>
      </c>
      <c r="D16" t="s">
        <v>102</v>
      </c>
      <c r="F16" s="21">
        <v>25000</v>
      </c>
      <c r="H16" s="21">
        <f t="shared" ref="H16:H39" si="0">H15+F16-G16</f>
        <v>525000</v>
      </c>
      <c r="M16" s="156">
        <v>100000</v>
      </c>
    </row>
    <row r="17" spans="2:13" ht="15" customHeight="1">
      <c r="B17" s="19">
        <v>41178</v>
      </c>
      <c r="D17" t="s">
        <v>102</v>
      </c>
      <c r="F17" s="21">
        <v>25000</v>
      </c>
      <c r="H17" s="21">
        <f t="shared" si="0"/>
        <v>550000</v>
      </c>
      <c r="M17" s="156">
        <v>100000</v>
      </c>
    </row>
    <row r="18" spans="2:13" ht="15" customHeight="1">
      <c r="B18" s="19">
        <v>41210</v>
      </c>
      <c r="D18" t="s">
        <v>102</v>
      </c>
      <c r="F18" s="21">
        <v>25000</v>
      </c>
      <c r="H18" s="21">
        <f t="shared" si="0"/>
        <v>575000</v>
      </c>
      <c r="M18" s="156">
        <v>200000</v>
      </c>
    </row>
    <row r="19" spans="2:13" ht="15" customHeight="1">
      <c r="B19" s="19">
        <v>41265</v>
      </c>
      <c r="D19" t="s">
        <v>102</v>
      </c>
      <c r="F19" s="21">
        <v>50000</v>
      </c>
      <c r="H19" s="21">
        <f t="shared" si="0"/>
        <v>625000</v>
      </c>
      <c r="M19" s="156">
        <v>150000</v>
      </c>
    </row>
    <row r="20" spans="2:13" ht="15" customHeight="1">
      <c r="B20" s="19">
        <v>41274</v>
      </c>
      <c r="D20" t="s">
        <v>392</v>
      </c>
      <c r="F20" s="21">
        <v>18618.544105383215</v>
      </c>
      <c r="H20" s="21">
        <f t="shared" si="0"/>
        <v>643618.54410538322</v>
      </c>
    </row>
    <row r="21" spans="2:13" ht="15" customHeight="1">
      <c r="B21" s="19">
        <v>41293</v>
      </c>
      <c r="D21" t="s">
        <v>102</v>
      </c>
      <c r="F21" s="21">
        <v>50000</v>
      </c>
      <c r="H21" s="21">
        <f t="shared" si="0"/>
        <v>693618.54410538322</v>
      </c>
    </row>
    <row r="22" spans="2:13" ht="15" customHeight="1">
      <c r="B22" s="19">
        <v>41342</v>
      </c>
      <c r="D22" t="s">
        <v>417</v>
      </c>
      <c r="F22" s="21">
        <v>50000</v>
      </c>
      <c r="H22" s="21">
        <f t="shared" si="0"/>
        <v>743618.54410538322</v>
      </c>
    </row>
    <row r="23" spans="2:13" ht="15" customHeight="1">
      <c r="B23" s="19">
        <v>41489</v>
      </c>
      <c r="D23" t="s">
        <v>467</v>
      </c>
      <c r="F23" s="21">
        <v>150000</v>
      </c>
      <c r="H23" s="21">
        <f t="shared" si="0"/>
        <v>893618.54410538322</v>
      </c>
    </row>
    <row r="24" spans="2:13" ht="15" customHeight="1">
      <c r="B24" s="19">
        <v>41640</v>
      </c>
      <c r="D24" s="55" t="s">
        <v>499</v>
      </c>
      <c r="F24" s="21">
        <v>87144.017345246175</v>
      </c>
      <c r="H24" s="21">
        <f t="shared" si="0"/>
        <v>980762.56145062938</v>
      </c>
    </row>
    <row r="25" spans="2:13" ht="15" customHeight="1">
      <c r="B25" s="19">
        <v>41640</v>
      </c>
      <c r="D25" t="s">
        <v>503</v>
      </c>
      <c r="G25" s="21">
        <v>87000</v>
      </c>
      <c r="H25" s="21">
        <f t="shared" si="0"/>
        <v>893762.56145062938</v>
      </c>
    </row>
    <row r="26" spans="2:13" ht="15" customHeight="1">
      <c r="B26" s="19">
        <v>41644</v>
      </c>
      <c r="D26" t="s">
        <v>507</v>
      </c>
      <c r="F26" s="21">
        <v>150000</v>
      </c>
      <c r="H26" s="21">
        <f t="shared" si="0"/>
        <v>1043762.5614506294</v>
      </c>
    </row>
    <row r="27" spans="2:13" ht="15" customHeight="1">
      <c r="B27" s="19">
        <v>41792</v>
      </c>
      <c r="D27" t="s">
        <v>538</v>
      </c>
      <c r="F27" s="21">
        <v>100000</v>
      </c>
      <c r="H27" s="21">
        <f t="shared" si="0"/>
        <v>1143762.5614506295</v>
      </c>
    </row>
    <row r="28" spans="2:13" ht="15" customHeight="1">
      <c r="B28" s="19">
        <v>41975</v>
      </c>
      <c r="D28" s="55" t="s">
        <v>559</v>
      </c>
      <c r="F28" s="21">
        <v>100000</v>
      </c>
      <c r="H28" s="21">
        <f t="shared" si="0"/>
        <v>1243762.5614506295</v>
      </c>
    </row>
    <row r="29" spans="2:13" ht="15" customHeight="1">
      <c r="B29" s="19">
        <v>42004</v>
      </c>
      <c r="D29" s="55" t="s">
        <v>591</v>
      </c>
      <c r="F29" s="21">
        <v>63703.521055552184</v>
      </c>
      <c r="H29" s="21">
        <f t="shared" si="0"/>
        <v>1307466.0825061817</v>
      </c>
    </row>
    <row r="30" spans="2:13" ht="15" customHeight="1">
      <c r="B30" s="19">
        <v>42369</v>
      </c>
      <c r="D30" s="55" t="s">
        <v>686</v>
      </c>
      <c r="F30" s="21">
        <v>50880.482106534451</v>
      </c>
      <c r="H30" s="21">
        <f t="shared" si="0"/>
        <v>1358346.5646127162</v>
      </c>
    </row>
    <row r="31" spans="2:13" ht="15" customHeight="1">
      <c r="B31" s="19">
        <v>42735</v>
      </c>
      <c r="D31" s="55" t="s">
        <v>726</v>
      </c>
      <c r="F31" s="21">
        <v>66436.251448986834</v>
      </c>
      <c r="H31" s="21">
        <f t="shared" si="0"/>
        <v>1424782.816061703</v>
      </c>
    </row>
    <row r="32" spans="2:13" ht="15" customHeight="1">
      <c r="B32" s="337">
        <v>42917</v>
      </c>
      <c r="D32" t="s">
        <v>762</v>
      </c>
      <c r="G32" s="21">
        <v>100000</v>
      </c>
      <c r="H32" s="21">
        <f t="shared" si="0"/>
        <v>1324782.816061703</v>
      </c>
    </row>
    <row r="33" spans="2:8" ht="15" customHeight="1">
      <c r="B33" s="337">
        <v>42917</v>
      </c>
      <c r="D33" t="s">
        <v>763</v>
      </c>
      <c r="G33" s="21">
        <v>100000</v>
      </c>
      <c r="H33" s="21">
        <f t="shared" si="0"/>
        <v>1224782.816061703</v>
      </c>
    </row>
    <row r="34" spans="2:8" ht="15" customHeight="1">
      <c r="B34" s="19">
        <v>43661</v>
      </c>
      <c r="D34" t="s">
        <v>993</v>
      </c>
      <c r="F34" s="21">
        <v>300000</v>
      </c>
      <c r="H34" s="21">
        <f t="shared" si="0"/>
        <v>1524782.816061703</v>
      </c>
    </row>
    <row r="35" spans="2:8" ht="15" customHeight="1">
      <c r="B35" s="19">
        <v>43797</v>
      </c>
      <c r="D35" t="s">
        <v>1087</v>
      </c>
      <c r="F35" s="21">
        <v>100000</v>
      </c>
      <c r="H35" s="21">
        <f t="shared" si="0"/>
        <v>1624782.816061703</v>
      </c>
    </row>
    <row r="36" spans="2:8" ht="15" customHeight="1">
      <c r="B36" s="19">
        <v>43828</v>
      </c>
      <c r="D36" t="s">
        <v>1087</v>
      </c>
      <c r="F36" s="21">
        <v>100000</v>
      </c>
      <c r="H36" s="21">
        <f t="shared" si="0"/>
        <v>1724782.816061703</v>
      </c>
    </row>
    <row r="37" spans="2:8" ht="15" customHeight="1">
      <c r="B37" s="19">
        <v>43859</v>
      </c>
      <c r="D37" t="s">
        <v>1087</v>
      </c>
      <c r="F37" s="21">
        <v>100000</v>
      </c>
      <c r="H37" s="21">
        <f t="shared" si="0"/>
        <v>1824782.816061703</v>
      </c>
    </row>
    <row r="38" spans="2:8" ht="15" customHeight="1">
      <c r="B38" s="19">
        <v>43952</v>
      </c>
      <c r="D38" t="s">
        <v>1087</v>
      </c>
      <c r="F38" s="21">
        <v>200000</v>
      </c>
      <c r="H38" s="21">
        <f t="shared" si="0"/>
        <v>2024782.816061703</v>
      </c>
    </row>
    <row r="39" spans="2:8" ht="15" customHeight="1">
      <c r="B39" s="19">
        <v>43972</v>
      </c>
      <c r="D39" t="s">
        <v>1087</v>
      </c>
      <c r="F39" s="21">
        <v>150000</v>
      </c>
      <c r="H39" s="21">
        <f t="shared" si="0"/>
        <v>2174782.816061703</v>
      </c>
    </row>
    <row r="40" spans="2:8" ht="15" customHeight="1"/>
    <row r="41" spans="2:8" ht="15" customHeight="1"/>
    <row r="42" spans="2:8" ht="15" customHeight="1"/>
    <row r="43" spans="2:8" ht="15" customHeight="1"/>
    <row r="44" spans="2:8" ht="15" customHeight="1"/>
    <row r="45" spans="2:8" ht="15" customHeight="1"/>
    <row r="50" spans="4:16" ht="15" customHeight="1">
      <c r="D50" s="76" t="s">
        <v>307</v>
      </c>
      <c r="E50" s="48"/>
      <c r="F50" s="53">
        <f>SUM(F15:F49)</f>
        <v>2461782.816061703</v>
      </c>
      <c r="G50" s="53">
        <f>SUM(G15:G49)</f>
        <v>287000</v>
      </c>
      <c r="H50" s="77">
        <f>F50-G50</f>
        <v>2174782.816061703</v>
      </c>
      <c r="L50" s="92">
        <f>SUM(L3:L11)</f>
        <v>500000</v>
      </c>
      <c r="M50" s="156">
        <f>SUM(M3:M28)</f>
        <v>1575000</v>
      </c>
      <c r="N50" s="92">
        <f>SUM(N3:N11)</f>
        <v>0</v>
      </c>
      <c r="O50" s="92">
        <f>SUM(O3:O11)</f>
        <v>99782.816061702848</v>
      </c>
    </row>
    <row r="51" spans="4:16">
      <c r="P51" s="92">
        <f>SUM(L50+M50+N50+O50)</f>
        <v>2174782.816061703</v>
      </c>
    </row>
  </sheetData>
  <mergeCells count="1">
    <mergeCell ref="L1:P1"/>
  </mergeCells>
  <phoneticPr fontId="37" type="noConversion"/>
  <pageMargins left="0.31496062992125984" right="0.70866141732283472" top="0.35433070866141736" bottom="0.35433070866141736" header="0.31496062992125984" footer="0.31496062992125984"/>
  <pageSetup paperSize="9" scale="90"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F0"/>
  </sheetPr>
  <dimension ref="B1:P50"/>
  <sheetViews>
    <sheetView topLeftCell="A10" zoomScale="80" zoomScaleNormal="80" workbookViewId="0">
      <selection activeCell="M9" sqref="M9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25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4" width="14.140625" style="156" customWidth="1"/>
    <col min="15" max="15" width="14.140625" style="161" customWidth="1"/>
    <col min="16" max="16" width="17.140625" style="30" customWidth="1"/>
  </cols>
  <sheetData>
    <row r="1" spans="2:16">
      <c r="B1" s="19" t="s">
        <v>49</v>
      </c>
      <c r="C1" t="s">
        <v>3</v>
      </c>
      <c r="D1" t="s">
        <v>354</v>
      </c>
      <c r="G1" s="18" t="s">
        <v>824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88" t="s">
        <v>148</v>
      </c>
      <c r="G2" s="18" t="s">
        <v>53</v>
      </c>
      <c r="L2" s="91" t="s">
        <v>338</v>
      </c>
      <c r="M2" s="155" t="s">
        <v>339</v>
      </c>
      <c r="N2" s="155" t="s">
        <v>340</v>
      </c>
      <c r="O2" s="290" t="s">
        <v>393</v>
      </c>
      <c r="P2" s="91" t="s">
        <v>341</v>
      </c>
    </row>
    <row r="3" spans="2:16">
      <c r="B3" s="19" t="s">
        <v>11</v>
      </c>
      <c r="C3" t="s">
        <v>3</v>
      </c>
      <c r="D3" t="s">
        <v>355</v>
      </c>
      <c r="G3" s="18" t="s">
        <v>61</v>
      </c>
      <c r="L3" s="92">
        <f>F15</f>
        <v>500000</v>
      </c>
      <c r="M3" s="156">
        <f>F16</f>
        <v>150000</v>
      </c>
      <c r="N3" s="156">
        <f>F17</f>
        <v>50000</v>
      </c>
      <c r="O3" s="161">
        <f>F18</f>
        <v>29789.670568613143</v>
      </c>
      <c r="P3" s="92"/>
    </row>
    <row r="4" spans="2:16">
      <c r="D4" t="s">
        <v>52</v>
      </c>
      <c r="G4" s="89" t="s">
        <v>356</v>
      </c>
      <c r="M4" s="156">
        <f>F19</f>
        <v>300000</v>
      </c>
      <c r="N4" s="156">
        <f>F20</f>
        <v>100000</v>
      </c>
      <c r="O4" s="161">
        <v>197941.31111761378</v>
      </c>
    </row>
    <row r="5" spans="2:16">
      <c r="G5" s="18"/>
      <c r="M5" s="156">
        <v>300000</v>
      </c>
      <c r="O5" s="161">
        <v>114100.80339806702</v>
      </c>
    </row>
    <row r="6" spans="2:16">
      <c r="G6" s="89" t="s">
        <v>357</v>
      </c>
      <c r="M6" s="156">
        <v>300000</v>
      </c>
      <c r="O6" s="161">
        <v>91133.171125249239</v>
      </c>
    </row>
    <row r="7" spans="2:16">
      <c r="G7" s="24" t="s">
        <v>55</v>
      </c>
      <c r="M7" s="156">
        <v>300000</v>
      </c>
      <c r="O7" s="161">
        <v>118995.45801361489</v>
      </c>
    </row>
    <row r="8" spans="2:16">
      <c r="G8" s="18"/>
      <c r="M8" s="156">
        <v>700000</v>
      </c>
      <c r="O8" s="156">
        <v>-100000</v>
      </c>
    </row>
    <row r="9" spans="2:16">
      <c r="O9" s="156">
        <v>-100000</v>
      </c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41117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19">
        <v>41117</v>
      </c>
      <c r="D16" t="s">
        <v>358</v>
      </c>
      <c r="F16" s="21">
        <v>150000</v>
      </c>
      <c r="H16" s="21">
        <f t="shared" ref="H16:H30" si="0">H15+F16-G16</f>
        <v>650000</v>
      </c>
    </row>
    <row r="17" spans="2:8" ht="15" customHeight="1">
      <c r="B17" s="19">
        <v>41117</v>
      </c>
      <c r="D17" t="s">
        <v>340</v>
      </c>
      <c r="F17" s="21">
        <f>350000-300000</f>
        <v>50000</v>
      </c>
      <c r="H17" s="21">
        <f t="shared" si="0"/>
        <v>700000</v>
      </c>
    </row>
    <row r="18" spans="2:8" ht="15" customHeight="1">
      <c r="B18" s="19">
        <v>41274</v>
      </c>
      <c r="D18" t="s">
        <v>392</v>
      </c>
      <c r="F18" s="86">
        <v>29789.670568613143</v>
      </c>
      <c r="H18" s="21">
        <f t="shared" si="0"/>
        <v>729789.6705686131</v>
      </c>
    </row>
    <row r="19" spans="2:8" ht="15" customHeight="1">
      <c r="B19" s="19">
        <v>41373</v>
      </c>
      <c r="D19" t="s">
        <v>419</v>
      </c>
      <c r="F19" s="21">
        <v>300000</v>
      </c>
      <c r="H19" s="21">
        <f t="shared" si="0"/>
        <v>1029789.6705686131</v>
      </c>
    </row>
    <row r="20" spans="2:8" ht="15" customHeight="1">
      <c r="B20" s="19">
        <v>41373</v>
      </c>
      <c r="D20" t="s">
        <v>282</v>
      </c>
      <c r="F20" s="21">
        <f>700000-(300000+300000)</f>
        <v>100000</v>
      </c>
      <c r="H20" s="21">
        <f t="shared" si="0"/>
        <v>1129789.6705686131</v>
      </c>
    </row>
    <row r="21" spans="2:8" ht="15" customHeight="1">
      <c r="B21" s="19">
        <v>41640</v>
      </c>
      <c r="D21" s="55" t="s">
        <v>499</v>
      </c>
      <c r="F21" s="21">
        <v>197941.31111761378</v>
      </c>
      <c r="H21" s="21">
        <f t="shared" si="0"/>
        <v>1327730.9816862268</v>
      </c>
    </row>
    <row r="22" spans="2:8" ht="15" customHeight="1">
      <c r="B22" s="336">
        <v>41640</v>
      </c>
      <c r="D22" t="s">
        <v>766</v>
      </c>
      <c r="F22" s="21">
        <v>300000</v>
      </c>
      <c r="H22" s="21">
        <f t="shared" si="0"/>
        <v>1627730.9816862268</v>
      </c>
    </row>
    <row r="23" spans="2:8" ht="15" customHeight="1">
      <c r="B23" s="19">
        <v>42004</v>
      </c>
      <c r="D23" t="s">
        <v>591</v>
      </c>
      <c r="F23" s="21">
        <v>114100.80339806702</v>
      </c>
      <c r="H23" s="21">
        <f t="shared" si="0"/>
        <v>1741831.7850842937</v>
      </c>
    </row>
    <row r="24" spans="2:8" ht="15" customHeight="1">
      <c r="B24" s="336">
        <v>41640</v>
      </c>
      <c r="D24" t="s">
        <v>767</v>
      </c>
      <c r="F24" s="21">
        <v>300000</v>
      </c>
      <c r="H24" s="21">
        <f t="shared" si="0"/>
        <v>2041831.7850842937</v>
      </c>
    </row>
    <row r="25" spans="2:8" ht="15" customHeight="1">
      <c r="B25" s="19">
        <v>42369</v>
      </c>
      <c r="D25" t="s">
        <v>686</v>
      </c>
      <c r="F25" s="21">
        <v>91133.171125249239</v>
      </c>
      <c r="H25" s="21">
        <f t="shared" si="0"/>
        <v>2132964.9562095432</v>
      </c>
    </row>
    <row r="26" spans="2:8" ht="15" customHeight="1">
      <c r="B26" s="19">
        <v>42370</v>
      </c>
      <c r="D26" t="s">
        <v>768</v>
      </c>
      <c r="F26" s="21">
        <v>300000</v>
      </c>
      <c r="H26" s="21">
        <f t="shared" si="0"/>
        <v>2432964.9562095432</v>
      </c>
    </row>
    <row r="27" spans="2:8" ht="15" customHeight="1">
      <c r="B27" s="19">
        <v>42735</v>
      </c>
      <c r="D27" t="s">
        <v>726</v>
      </c>
      <c r="F27" s="21">
        <v>118995.45801361489</v>
      </c>
      <c r="H27" s="21">
        <f t="shared" si="0"/>
        <v>2551960.4142231583</v>
      </c>
    </row>
    <row r="28" spans="2:8" ht="15" customHeight="1">
      <c r="B28" s="431">
        <v>42917</v>
      </c>
      <c r="C28" s="291"/>
      <c r="D28" s="291" t="s">
        <v>762</v>
      </c>
      <c r="E28" s="291"/>
      <c r="F28" s="291"/>
      <c r="G28" s="291">
        <v>100000</v>
      </c>
      <c r="H28" s="21">
        <f t="shared" si="0"/>
        <v>2451960.4142231583</v>
      </c>
    </row>
    <row r="29" spans="2:8" ht="15" customHeight="1">
      <c r="B29" s="431">
        <v>42917</v>
      </c>
      <c r="C29" s="291"/>
      <c r="D29" s="291" t="s">
        <v>763</v>
      </c>
      <c r="E29" s="291"/>
      <c r="F29" s="291"/>
      <c r="G29" s="291">
        <v>100000</v>
      </c>
      <c r="H29" s="21">
        <f t="shared" si="0"/>
        <v>2351960.4142231583</v>
      </c>
    </row>
    <row r="30" spans="2:8" ht="15" customHeight="1">
      <c r="B30" s="19">
        <v>43046</v>
      </c>
      <c r="D30" t="s">
        <v>823</v>
      </c>
      <c r="F30" s="21">
        <v>700000</v>
      </c>
      <c r="H30" s="21">
        <f t="shared" si="0"/>
        <v>3051960.4142231583</v>
      </c>
    </row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9" spans="4:16" ht="15" customHeight="1">
      <c r="D49" s="76" t="s">
        <v>307</v>
      </c>
      <c r="E49" s="48"/>
      <c r="F49" s="53">
        <f>SUM(F15:F48)</f>
        <v>3251960.4142231583</v>
      </c>
      <c r="G49" s="53">
        <f>SUM(G15:G48)</f>
        <v>200000</v>
      </c>
      <c r="H49" s="77">
        <f>F49-G49</f>
        <v>3051960.4142231583</v>
      </c>
      <c r="L49" s="92">
        <f>SUM(L3:L11)</f>
        <v>500000</v>
      </c>
      <c r="M49" s="156">
        <f>SUM(M3:M11)</f>
        <v>2050000</v>
      </c>
      <c r="N49" s="156">
        <f>SUM(N3:N11)</f>
        <v>150000</v>
      </c>
      <c r="O49" s="161">
        <f>SUM(O3:O11)</f>
        <v>351960.41422315803</v>
      </c>
      <c r="P49" s="92">
        <f>SUM(P3:P11)</f>
        <v>0</v>
      </c>
    </row>
    <row r="50" spans="4:16">
      <c r="P50" s="92">
        <f>SUM(L49:P49)</f>
        <v>3051960.4142231578</v>
      </c>
    </row>
  </sheetData>
  <mergeCells count="1">
    <mergeCell ref="L1:P1"/>
  </mergeCells>
  <phoneticPr fontId="37" type="noConversion"/>
  <pageMargins left="0.31496062992125984" right="0.70866141732283472" top="0.35433070866141736" bottom="0.35433070866141736" header="0.31496062992125984" footer="0.31496062992125984"/>
  <pageSetup paperSize="9" scale="90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F0"/>
  </sheetPr>
  <dimension ref="B1:P51"/>
  <sheetViews>
    <sheetView topLeftCell="A16" workbookViewId="0">
      <selection activeCell="M9" sqref="M9:O9"/>
    </sheetView>
  </sheetViews>
  <sheetFormatPr defaultRowHeight="12.75"/>
  <cols>
    <col min="1" max="1" width="0.7109375" style="55" customWidth="1"/>
    <col min="2" max="2" width="11.28515625" style="54" customWidth="1"/>
    <col min="3" max="3" width="1.5703125" style="55" customWidth="1"/>
    <col min="4" max="4" width="9.140625" style="55"/>
    <col min="5" max="5" width="10.28515625" style="55" customWidth="1"/>
    <col min="6" max="6" width="12" style="66" customWidth="1"/>
    <col min="7" max="7" width="12.28515625" style="66" customWidth="1"/>
    <col min="8" max="8" width="13.7109375" style="66" customWidth="1"/>
    <col min="9" max="9" width="5" style="55" customWidth="1"/>
    <col min="10" max="11" width="9.140625" style="55"/>
    <col min="12" max="12" width="14.140625" style="55" customWidth="1"/>
    <col min="13" max="13" width="14.140625" style="313" customWidth="1"/>
    <col min="14" max="14" width="14.140625" style="55" customWidth="1"/>
    <col min="15" max="15" width="14.140625" style="318" customWidth="1"/>
    <col min="16" max="16" width="17.140625" style="55" customWidth="1"/>
    <col min="17" max="16384" width="9.140625" style="55"/>
  </cols>
  <sheetData>
    <row r="1" spans="2:16">
      <c r="B1" s="54" t="s">
        <v>49</v>
      </c>
      <c r="C1" s="55" t="s">
        <v>3</v>
      </c>
      <c r="D1" s="55" t="s">
        <v>376</v>
      </c>
      <c r="G1" s="307" t="s">
        <v>60</v>
      </c>
      <c r="L1" s="682" t="s">
        <v>337</v>
      </c>
      <c r="M1" s="682"/>
      <c r="N1" s="682"/>
      <c r="O1" s="682"/>
      <c r="P1" s="682"/>
    </row>
    <row r="2" spans="2:16">
      <c r="B2" s="54" t="s">
        <v>50</v>
      </c>
      <c r="C2" s="55" t="s">
        <v>3</v>
      </c>
      <c r="D2" s="158" t="s">
        <v>394</v>
      </c>
      <c r="G2" s="307" t="s">
        <v>53</v>
      </c>
      <c r="L2" s="163" t="s">
        <v>338</v>
      </c>
      <c r="M2" s="315" t="s">
        <v>339</v>
      </c>
      <c r="N2" s="163" t="s">
        <v>340</v>
      </c>
      <c r="O2" s="423" t="s">
        <v>393</v>
      </c>
      <c r="P2" s="163" t="s">
        <v>341</v>
      </c>
    </row>
    <row r="3" spans="2:16">
      <c r="B3" s="54" t="s">
        <v>11</v>
      </c>
      <c r="C3" s="55" t="s">
        <v>3</v>
      </c>
      <c r="D3" s="25" t="s">
        <v>370</v>
      </c>
      <c r="G3" s="307" t="s">
        <v>61</v>
      </c>
      <c r="H3" s="55" t="s">
        <v>377</v>
      </c>
      <c r="L3" s="309">
        <f>F15</f>
        <v>500000</v>
      </c>
      <c r="M3" s="313">
        <f>F17</f>
        <v>50000</v>
      </c>
      <c r="N3" s="309"/>
      <c r="O3" s="318">
        <v>2978.9670568613137</v>
      </c>
      <c r="P3" s="309"/>
    </row>
    <row r="4" spans="2:16">
      <c r="D4" s="55" t="s">
        <v>52</v>
      </c>
      <c r="G4" s="307" t="s">
        <v>379</v>
      </c>
      <c r="H4" s="66" t="s">
        <v>380</v>
      </c>
      <c r="M4" s="313">
        <f>F18</f>
        <v>50000</v>
      </c>
      <c r="O4" s="318">
        <v>58801.386688574647</v>
      </c>
    </row>
    <row r="5" spans="2:16">
      <c r="G5" s="307"/>
      <c r="M5" s="313">
        <v>50000</v>
      </c>
      <c r="O5" s="318">
        <v>-50000</v>
      </c>
    </row>
    <row r="6" spans="2:16">
      <c r="G6" s="307" t="s">
        <v>381</v>
      </c>
      <c r="H6" s="66" t="str">
        <f>H4</f>
        <v>20 DES 2012</v>
      </c>
      <c r="M6" s="313">
        <v>300000</v>
      </c>
      <c r="O6" s="318">
        <v>49260.845208413077</v>
      </c>
    </row>
    <row r="7" spans="2:16">
      <c r="G7" s="24" t="s">
        <v>55</v>
      </c>
      <c r="M7" s="313">
        <v>150000</v>
      </c>
      <c r="O7" s="318">
        <v>49073.842157332379</v>
      </c>
    </row>
    <row r="8" spans="2:16">
      <c r="G8" s="307"/>
      <c r="M8" s="313">
        <v>100000</v>
      </c>
      <c r="O8" s="318">
        <v>64077.264643561924</v>
      </c>
    </row>
    <row r="9" spans="2:16">
      <c r="M9" s="313">
        <v>-100000</v>
      </c>
      <c r="O9" s="318">
        <v>-100000</v>
      </c>
    </row>
    <row r="11" spans="2:16">
      <c r="G11" s="307" t="s">
        <v>56</v>
      </c>
    </row>
    <row r="14" spans="2:16">
      <c r="B14" s="54" t="s">
        <v>57</v>
      </c>
      <c r="D14" s="55" t="s">
        <v>58</v>
      </c>
      <c r="F14" s="310" t="s">
        <v>87</v>
      </c>
      <c r="G14" s="310" t="s">
        <v>88</v>
      </c>
      <c r="H14" s="310" t="s">
        <v>89</v>
      </c>
    </row>
    <row r="15" spans="2:16" ht="15" customHeight="1">
      <c r="B15" s="54">
        <v>41263</v>
      </c>
      <c r="D15" s="55" t="s">
        <v>59</v>
      </c>
      <c r="F15" s="66">
        <v>500000</v>
      </c>
      <c r="G15" s="311"/>
      <c r="H15" s="66">
        <f>F15-G15</f>
        <v>500000</v>
      </c>
    </row>
    <row r="16" spans="2:16" ht="15" customHeight="1">
      <c r="B16" s="54">
        <v>41274</v>
      </c>
      <c r="D16" s="55" t="s">
        <v>392</v>
      </c>
      <c r="F16" s="66">
        <v>2978.9670568613137</v>
      </c>
      <c r="H16" s="66">
        <f t="shared" ref="H16:H29" si="0">H15+F16-G16</f>
        <v>502978.96705686132</v>
      </c>
    </row>
    <row r="17" spans="2:8" ht="15" customHeight="1">
      <c r="B17" s="54">
        <v>41309</v>
      </c>
      <c r="D17" s="55" t="s">
        <v>399</v>
      </c>
      <c r="F17" s="66">
        <v>50000</v>
      </c>
      <c r="H17" s="66">
        <f t="shared" si="0"/>
        <v>552978.96705686138</v>
      </c>
    </row>
    <row r="18" spans="2:8" ht="15" customHeight="1">
      <c r="B18" s="54">
        <v>41388</v>
      </c>
      <c r="D18" s="55" t="s">
        <v>421</v>
      </c>
      <c r="F18" s="66">
        <v>50000</v>
      </c>
      <c r="H18" s="66">
        <f t="shared" si="0"/>
        <v>602978.96705686138</v>
      </c>
    </row>
    <row r="19" spans="2:8" ht="15" customHeight="1">
      <c r="B19" s="54">
        <v>41640</v>
      </c>
      <c r="D19" s="55" t="s">
        <v>499</v>
      </c>
      <c r="F19" s="66">
        <v>58801.386688574647</v>
      </c>
      <c r="H19" s="66">
        <f t="shared" si="0"/>
        <v>661780.35374543606</v>
      </c>
    </row>
    <row r="20" spans="2:8" ht="15" customHeight="1">
      <c r="B20" s="54">
        <v>41640</v>
      </c>
      <c r="D20" s="55" t="s">
        <v>503</v>
      </c>
      <c r="G20" s="66">
        <v>50000</v>
      </c>
      <c r="H20" s="66">
        <f t="shared" si="0"/>
        <v>611780.35374543606</v>
      </c>
    </row>
    <row r="21" spans="2:8" ht="15" customHeight="1">
      <c r="B21" s="54">
        <v>41640</v>
      </c>
      <c r="D21" s="55" t="s">
        <v>565</v>
      </c>
      <c r="F21" s="66">
        <v>50000</v>
      </c>
      <c r="H21" s="66">
        <f t="shared" si="0"/>
        <v>661780.35374543606</v>
      </c>
    </row>
    <row r="22" spans="2:8" ht="15" customHeight="1">
      <c r="B22" s="54">
        <v>41988</v>
      </c>
      <c r="D22" s="55" t="s">
        <v>566</v>
      </c>
      <c r="F22" s="66">
        <v>300000</v>
      </c>
      <c r="H22" s="66">
        <f t="shared" si="0"/>
        <v>961780.35374543606</v>
      </c>
    </row>
    <row r="23" spans="2:8" ht="15" customHeight="1">
      <c r="B23" s="54">
        <v>42005</v>
      </c>
      <c r="D23" s="55" t="s">
        <v>591</v>
      </c>
      <c r="F23" s="66">
        <v>49260.845208413077</v>
      </c>
      <c r="H23" s="66">
        <f>H22+F23-G23</f>
        <v>1011041.1989538491</v>
      </c>
    </row>
    <row r="24" spans="2:8" ht="15" customHeight="1">
      <c r="B24" s="54">
        <v>42099</v>
      </c>
      <c r="D24" s="55" t="s">
        <v>624</v>
      </c>
      <c r="F24" s="66">
        <v>150000</v>
      </c>
      <c r="H24" s="66">
        <f t="shared" si="0"/>
        <v>1161041.1989538493</v>
      </c>
    </row>
    <row r="25" spans="2:8" ht="15" customHeight="1">
      <c r="B25" s="54">
        <v>42309</v>
      </c>
      <c r="D25" s="55" t="s">
        <v>663</v>
      </c>
      <c r="F25" s="66">
        <v>100000</v>
      </c>
      <c r="H25" s="66">
        <f t="shared" si="0"/>
        <v>1261041.1989538493</v>
      </c>
    </row>
    <row r="26" spans="2:8" ht="15" customHeight="1">
      <c r="B26" s="54">
        <v>42369</v>
      </c>
      <c r="D26" s="55" t="s">
        <v>686</v>
      </c>
      <c r="F26" s="66">
        <v>49073.842157332379</v>
      </c>
      <c r="G26" s="55"/>
      <c r="H26" s="66">
        <f t="shared" si="0"/>
        <v>1310115.0411111817</v>
      </c>
    </row>
    <row r="27" spans="2:8" ht="15" customHeight="1">
      <c r="B27" s="54">
        <v>42735</v>
      </c>
      <c r="D27" s="55" t="s">
        <v>726</v>
      </c>
      <c r="F27" s="66">
        <v>64077.264643561924</v>
      </c>
      <c r="H27" s="66">
        <f t="shared" si="0"/>
        <v>1374192.3057547437</v>
      </c>
    </row>
    <row r="28" spans="2:8" ht="15" customHeight="1">
      <c r="B28" s="54">
        <v>42917</v>
      </c>
      <c r="D28" s="55" t="s">
        <v>762</v>
      </c>
      <c r="G28" s="66">
        <v>100000</v>
      </c>
      <c r="H28" s="66">
        <f t="shared" si="0"/>
        <v>1274192.3057547437</v>
      </c>
    </row>
    <row r="29" spans="2:8" ht="15" customHeight="1">
      <c r="B29" s="54">
        <v>42917</v>
      </c>
      <c r="D29" s="55" t="s">
        <v>763</v>
      </c>
      <c r="G29" s="66">
        <v>100000</v>
      </c>
      <c r="H29" s="66">
        <f t="shared" si="0"/>
        <v>1174192.3057547437</v>
      </c>
    </row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316"/>
      <c r="F50" s="66">
        <f>SUM(F15:F49)</f>
        <v>1424192.3057547435</v>
      </c>
      <c r="G50" s="66">
        <f>SUM(G15:G49)</f>
        <v>250000</v>
      </c>
      <c r="H50" s="317">
        <f>F50-G50</f>
        <v>1174192.3057547435</v>
      </c>
      <c r="L50" s="309">
        <f>SUM(L3:L11)</f>
        <v>500000</v>
      </c>
      <c r="M50" s="313">
        <f>SUM(M3:M29)</f>
        <v>600000</v>
      </c>
      <c r="N50" s="309">
        <f>SUM(N3:N11)</f>
        <v>0</v>
      </c>
      <c r="O50" s="318">
        <f>SUM(O3:O11)</f>
        <v>74192.305754743342</v>
      </c>
      <c r="P50" s="309">
        <f>SUM(P3:P11)</f>
        <v>0</v>
      </c>
    </row>
    <row r="51" spans="4:16">
      <c r="P51" s="309">
        <f>SUM(L50:P50)</f>
        <v>1174192.3057547433</v>
      </c>
    </row>
  </sheetData>
  <mergeCells count="1">
    <mergeCell ref="L1:P1"/>
  </mergeCells>
  <phoneticPr fontId="37" type="noConversion"/>
  <pageMargins left="0.35433070866141736" right="0.74803149606299213" top="0.39370078740157483" bottom="0.39370078740157483" header="0.51181102362204722" footer="0.51181102362204722"/>
  <pageSetup paperSize="9" scale="90" orientation="landscape" horizontalDpi="4294967293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F0"/>
  </sheetPr>
  <dimension ref="B1:P90"/>
  <sheetViews>
    <sheetView topLeftCell="A75" workbookViewId="0">
      <selection activeCell="B1" sqref="B1:I27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4" width="14.140625" style="156" customWidth="1"/>
    <col min="15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t="s">
        <v>401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24" t="s">
        <v>151</v>
      </c>
      <c r="G2" s="18" t="s">
        <v>53</v>
      </c>
      <c r="L2" s="91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3" t="s">
        <v>403</v>
      </c>
      <c r="G3" s="18" t="s">
        <v>61</v>
      </c>
      <c r="H3"/>
      <c r="L3" s="92">
        <f>F15</f>
        <v>500000</v>
      </c>
      <c r="M3" s="156">
        <f>F16</f>
        <v>25000</v>
      </c>
      <c r="N3" s="156">
        <v>19000</v>
      </c>
      <c r="O3" s="92">
        <v>65735.222341978777</v>
      </c>
      <c r="P3" s="92"/>
    </row>
    <row r="4" spans="2:16">
      <c r="D4" t="s">
        <v>404</v>
      </c>
      <c r="G4" s="89" t="s">
        <v>379</v>
      </c>
      <c r="H4" s="21" t="s">
        <v>405</v>
      </c>
      <c r="M4" s="156">
        <f>F17</f>
        <v>25000</v>
      </c>
      <c r="N4" s="156">
        <v>19000</v>
      </c>
      <c r="O4" s="92">
        <v>67389.845166457002</v>
      </c>
    </row>
    <row r="5" spans="2:16">
      <c r="G5" s="18"/>
      <c r="M5" s="156">
        <f>F18</f>
        <v>25000</v>
      </c>
      <c r="N5" s="156">
        <v>19000</v>
      </c>
      <c r="O5" s="161">
        <v>65499.377785976096</v>
      </c>
    </row>
    <row r="6" spans="2:16">
      <c r="D6" s="683" t="s">
        <v>472</v>
      </c>
      <c r="E6" s="683"/>
      <c r="F6" s="683"/>
      <c r="G6" s="89" t="s">
        <v>381</v>
      </c>
      <c r="H6" s="21" t="str">
        <f>H4</f>
        <v>21/02/20013</v>
      </c>
      <c r="M6" s="156">
        <f>F19</f>
        <v>25000</v>
      </c>
      <c r="N6" s="156">
        <v>19000</v>
      </c>
      <c r="O6" s="161">
        <v>97898.745738671612</v>
      </c>
    </row>
    <row r="7" spans="2:16">
      <c r="G7" s="24" t="s">
        <v>55</v>
      </c>
      <c r="M7" s="156">
        <f>F20</f>
        <v>25000</v>
      </c>
      <c r="N7" s="156">
        <v>19000</v>
      </c>
      <c r="O7" s="156">
        <v>-100000</v>
      </c>
    </row>
    <row r="8" spans="2:16">
      <c r="G8" s="18"/>
      <c r="M8" s="156">
        <v>50000</v>
      </c>
      <c r="N8" s="156">
        <v>9000</v>
      </c>
      <c r="O8" s="156">
        <v>-100000</v>
      </c>
    </row>
    <row r="9" spans="2:16">
      <c r="M9" s="156">
        <f>F22</f>
        <v>25000</v>
      </c>
      <c r="N9" s="156">
        <v>9000</v>
      </c>
    </row>
    <row r="10" spans="2:16">
      <c r="M10" s="156">
        <f>F23</f>
        <v>50000</v>
      </c>
      <c r="N10" s="156">
        <v>4000</v>
      </c>
    </row>
    <row r="11" spans="2:16">
      <c r="G11" s="18" t="s">
        <v>56</v>
      </c>
      <c r="M11" s="156">
        <v>25000</v>
      </c>
      <c r="N11" s="156">
        <v>10000</v>
      </c>
    </row>
    <row r="12" spans="2:16">
      <c r="M12" s="156">
        <v>25000</v>
      </c>
    </row>
    <row r="13" spans="2:16">
      <c r="M13" s="156">
        <v>50000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50000</v>
      </c>
    </row>
    <row r="15" spans="2:16" ht="15" customHeight="1">
      <c r="B15" s="19">
        <v>41326</v>
      </c>
      <c r="D15" t="s">
        <v>59</v>
      </c>
      <c r="F15" s="21">
        <v>500000</v>
      </c>
      <c r="G15" s="22"/>
      <c r="H15" s="21">
        <f>F15-G15</f>
        <v>500000</v>
      </c>
      <c r="M15" s="156">
        <v>50000</v>
      </c>
    </row>
    <row r="16" spans="2:16" ht="15" hidden="1" customHeight="1">
      <c r="B16" s="19">
        <v>41326</v>
      </c>
      <c r="D16" t="s">
        <v>406</v>
      </c>
      <c r="F16" s="21">
        <v>25000</v>
      </c>
      <c r="H16" s="21">
        <f t="shared" ref="H16:H78" si="0">H15+F16-G16</f>
        <v>525000</v>
      </c>
      <c r="M16" s="156">
        <v>50000</v>
      </c>
    </row>
    <row r="17" spans="2:13" ht="15" hidden="1" customHeight="1">
      <c r="B17" s="19">
        <v>41341</v>
      </c>
      <c r="D17" t="s">
        <v>286</v>
      </c>
      <c r="F17" s="21">
        <v>25000</v>
      </c>
      <c r="H17" s="21">
        <f t="shared" si="0"/>
        <v>550000</v>
      </c>
      <c r="M17" s="156">
        <v>50000</v>
      </c>
    </row>
    <row r="18" spans="2:13" ht="15" hidden="1" customHeight="1">
      <c r="B18" s="19">
        <v>41374</v>
      </c>
      <c r="D18" t="s">
        <v>286</v>
      </c>
      <c r="F18" s="21">
        <v>25000</v>
      </c>
      <c r="H18" s="21">
        <f t="shared" si="0"/>
        <v>575000</v>
      </c>
      <c r="M18" s="156">
        <v>50000</v>
      </c>
    </row>
    <row r="19" spans="2:13" ht="15" hidden="1" customHeight="1">
      <c r="B19" s="19">
        <v>41419</v>
      </c>
      <c r="D19" t="s">
        <v>286</v>
      </c>
      <c r="F19" s="21">
        <v>25000</v>
      </c>
      <c r="H19" s="21">
        <f t="shared" si="0"/>
        <v>600000</v>
      </c>
      <c r="M19" s="156">
        <v>25000</v>
      </c>
    </row>
    <row r="20" spans="2:13" ht="15" hidden="1" customHeight="1">
      <c r="B20" s="19">
        <v>41453</v>
      </c>
      <c r="D20" t="s">
        <v>286</v>
      </c>
      <c r="F20" s="21">
        <v>25000</v>
      </c>
      <c r="H20" s="21">
        <f t="shared" si="0"/>
        <v>625000</v>
      </c>
      <c r="M20" s="156">
        <v>25000</v>
      </c>
    </row>
    <row r="21" spans="2:13" ht="15" hidden="1" customHeight="1">
      <c r="B21" s="19">
        <v>41500</v>
      </c>
      <c r="D21" t="s">
        <v>468</v>
      </c>
      <c r="F21" s="21">
        <v>50000</v>
      </c>
      <c r="H21" s="21">
        <f t="shared" si="0"/>
        <v>675000</v>
      </c>
      <c r="M21" s="156">
        <v>50000</v>
      </c>
    </row>
    <row r="22" spans="2:13" ht="15" hidden="1" customHeight="1">
      <c r="B22" s="19">
        <v>41540</v>
      </c>
      <c r="D22" t="s">
        <v>286</v>
      </c>
      <c r="F22" s="21">
        <v>25000</v>
      </c>
      <c r="H22" s="21">
        <f t="shared" si="0"/>
        <v>700000</v>
      </c>
      <c r="M22" s="21">
        <v>50000</v>
      </c>
    </row>
    <row r="23" spans="2:13" ht="15" hidden="1" customHeight="1">
      <c r="B23" s="19">
        <v>41571</v>
      </c>
      <c r="D23" t="s">
        <v>485</v>
      </c>
      <c r="F23" s="21">
        <v>50000</v>
      </c>
      <c r="H23" s="21">
        <f t="shared" si="0"/>
        <v>750000</v>
      </c>
      <c r="M23" s="156">
        <v>30000</v>
      </c>
    </row>
    <row r="24" spans="2:13" ht="15" hidden="1" customHeight="1">
      <c r="B24" s="19">
        <v>41601</v>
      </c>
      <c r="D24" t="s">
        <v>491</v>
      </c>
      <c r="F24" s="21">
        <v>25000</v>
      </c>
      <c r="H24" s="21">
        <f t="shared" si="0"/>
        <v>775000</v>
      </c>
      <c r="M24" s="156">
        <v>30000</v>
      </c>
    </row>
    <row r="25" spans="2:13" ht="15" hidden="1" customHeight="1">
      <c r="B25" s="19">
        <v>41638</v>
      </c>
      <c r="D25" t="s">
        <v>286</v>
      </c>
      <c r="F25" s="21">
        <v>25000</v>
      </c>
      <c r="H25" s="21">
        <f t="shared" si="0"/>
        <v>800000</v>
      </c>
      <c r="M25" s="156">
        <v>30000</v>
      </c>
    </row>
    <row r="26" spans="2:13" ht="15" hidden="1" customHeight="1">
      <c r="B26" s="19">
        <v>41640</v>
      </c>
      <c r="D26" t="s">
        <v>499</v>
      </c>
      <c r="F26" s="21">
        <v>65735.222341978806</v>
      </c>
      <c r="H26" s="21">
        <f t="shared" si="0"/>
        <v>865735.22234197881</v>
      </c>
      <c r="M26" s="156">
        <v>60000</v>
      </c>
    </row>
    <row r="27" spans="2:13" ht="15" hidden="1" customHeight="1">
      <c r="B27" s="19">
        <v>41702</v>
      </c>
      <c r="D27" t="s">
        <v>286</v>
      </c>
      <c r="F27" s="21">
        <v>50000</v>
      </c>
      <c r="H27" s="21">
        <f t="shared" si="0"/>
        <v>915735.22234197881</v>
      </c>
      <c r="M27" s="156">
        <v>20000</v>
      </c>
    </row>
    <row r="28" spans="2:13" ht="15" hidden="1" customHeight="1">
      <c r="B28" s="19">
        <v>41723</v>
      </c>
      <c r="D28" t="s">
        <v>286</v>
      </c>
      <c r="F28" s="21">
        <v>50000</v>
      </c>
      <c r="H28" s="21">
        <f t="shared" si="0"/>
        <v>965735.22234197881</v>
      </c>
      <c r="M28" s="156">
        <v>20000</v>
      </c>
    </row>
    <row r="29" spans="2:13" ht="15" hidden="1" customHeight="1">
      <c r="B29" s="19">
        <v>41751</v>
      </c>
      <c r="D29" t="s">
        <v>286</v>
      </c>
      <c r="F29" s="21">
        <v>50000</v>
      </c>
      <c r="H29" s="21">
        <f t="shared" si="0"/>
        <v>1015735.2223419788</v>
      </c>
      <c r="M29" s="156">
        <v>20000</v>
      </c>
    </row>
    <row r="30" spans="2:13" ht="15" hidden="1" customHeight="1">
      <c r="B30" s="19">
        <v>41799</v>
      </c>
      <c r="D30" t="s">
        <v>286</v>
      </c>
      <c r="F30" s="21">
        <v>50000</v>
      </c>
      <c r="H30" s="21">
        <f t="shared" si="0"/>
        <v>1065735.2223419789</v>
      </c>
      <c r="M30" s="156">
        <v>20000</v>
      </c>
    </row>
    <row r="31" spans="2:13" ht="15" hidden="1" customHeight="1">
      <c r="B31" s="19">
        <v>41822</v>
      </c>
      <c r="D31" t="s">
        <v>286</v>
      </c>
      <c r="F31" s="21">
        <v>50000</v>
      </c>
      <c r="H31" s="21">
        <f t="shared" si="0"/>
        <v>1115735.2223419789</v>
      </c>
      <c r="M31" s="156">
        <v>20000</v>
      </c>
    </row>
    <row r="32" spans="2:13" ht="15" hidden="1" customHeight="1">
      <c r="B32" s="19">
        <v>41843</v>
      </c>
      <c r="D32" t="s">
        <v>286</v>
      </c>
      <c r="F32" s="21">
        <v>50000</v>
      </c>
      <c r="H32" s="21">
        <f t="shared" si="0"/>
        <v>1165735.2223419789</v>
      </c>
      <c r="M32" s="156">
        <v>20000</v>
      </c>
    </row>
    <row r="33" spans="2:13" ht="15" hidden="1" customHeight="1">
      <c r="B33" s="19">
        <v>41864</v>
      </c>
      <c r="D33" s="55" t="s">
        <v>286</v>
      </c>
      <c r="F33" s="21">
        <v>25000</v>
      </c>
      <c r="H33" s="21">
        <f t="shared" si="0"/>
        <v>1190735.2223419789</v>
      </c>
      <c r="M33" s="156">
        <v>20000</v>
      </c>
    </row>
    <row r="34" spans="2:13" ht="15" hidden="1" customHeight="1">
      <c r="B34" s="19">
        <v>41902</v>
      </c>
      <c r="D34" s="55" t="s">
        <v>286</v>
      </c>
      <c r="F34" s="21">
        <v>25000</v>
      </c>
      <c r="H34" s="21">
        <f t="shared" si="0"/>
        <v>1215735.2223419789</v>
      </c>
      <c r="M34" s="156">
        <v>25000</v>
      </c>
    </row>
    <row r="35" spans="2:13" ht="15" hidden="1" customHeight="1">
      <c r="B35" s="19">
        <v>41931</v>
      </c>
      <c r="D35" s="55" t="s">
        <v>286</v>
      </c>
      <c r="F35" s="21">
        <v>50000</v>
      </c>
      <c r="H35" s="21">
        <f t="shared" si="0"/>
        <v>1265735.2223419789</v>
      </c>
      <c r="M35" s="156">
        <v>25000</v>
      </c>
    </row>
    <row r="36" spans="2:13" ht="15" hidden="1" customHeight="1">
      <c r="B36" s="19">
        <v>41995</v>
      </c>
      <c r="D36" s="55" t="s">
        <v>286</v>
      </c>
      <c r="F36" s="21">
        <v>50000</v>
      </c>
      <c r="H36" s="21">
        <f t="shared" si="0"/>
        <v>1315735.2223419789</v>
      </c>
      <c r="M36" s="156">
        <v>25000</v>
      </c>
    </row>
    <row r="37" spans="2:13" ht="15" hidden="1" customHeight="1">
      <c r="B37" s="19">
        <v>42044</v>
      </c>
      <c r="D37" s="55" t="s">
        <v>592</v>
      </c>
      <c r="F37" s="21">
        <v>67389.845166457002</v>
      </c>
      <c r="H37" s="21">
        <f t="shared" si="0"/>
        <v>1383125.0675084358</v>
      </c>
      <c r="M37" s="156">
        <v>25000</v>
      </c>
    </row>
    <row r="38" spans="2:13" ht="15" hidden="1" customHeight="1">
      <c r="B38" s="19">
        <v>42044</v>
      </c>
      <c r="D38" s="55" t="s">
        <v>286</v>
      </c>
      <c r="F38" s="21">
        <v>30000</v>
      </c>
      <c r="H38" s="21">
        <f t="shared" si="0"/>
        <v>1413125.0675084358</v>
      </c>
      <c r="M38" s="156">
        <v>50000</v>
      </c>
    </row>
    <row r="39" spans="2:13" ht="15" hidden="1" customHeight="1">
      <c r="B39" s="19">
        <v>42080</v>
      </c>
      <c r="D39" s="55" t="s">
        <v>286</v>
      </c>
      <c r="F39" s="21">
        <v>30000</v>
      </c>
      <c r="H39" s="21">
        <f t="shared" si="0"/>
        <v>1443125.0675084358</v>
      </c>
      <c r="M39" s="156">
        <v>25000</v>
      </c>
    </row>
    <row r="40" spans="2:13" ht="15" hidden="1" customHeight="1">
      <c r="B40" s="19">
        <v>42116</v>
      </c>
      <c r="D40" s="55" t="s">
        <v>286</v>
      </c>
      <c r="F40" s="21">
        <v>30000</v>
      </c>
      <c r="H40" s="21">
        <f t="shared" si="0"/>
        <v>1473125.0675084358</v>
      </c>
      <c r="M40" s="326">
        <v>25000</v>
      </c>
    </row>
    <row r="41" spans="2:13" ht="15" hidden="1" customHeight="1">
      <c r="B41" s="19">
        <v>42164</v>
      </c>
      <c r="D41" s="55" t="s">
        <v>286</v>
      </c>
      <c r="F41" s="21">
        <v>60000</v>
      </c>
      <c r="H41" s="21">
        <f t="shared" si="0"/>
        <v>1533125.0675084358</v>
      </c>
      <c r="M41" s="156">
        <v>25000</v>
      </c>
    </row>
    <row r="42" spans="2:13" ht="15" hidden="1" customHeight="1">
      <c r="B42" s="19">
        <v>42198</v>
      </c>
      <c r="D42" s="55" t="s">
        <v>286</v>
      </c>
      <c r="F42" s="21">
        <v>30000</v>
      </c>
      <c r="H42" s="21">
        <f t="shared" si="0"/>
        <v>1563125.0675084358</v>
      </c>
      <c r="M42" s="156">
        <v>50000</v>
      </c>
    </row>
    <row r="43" spans="2:13" ht="15" hidden="1" customHeight="1">
      <c r="B43" s="19">
        <v>42226</v>
      </c>
      <c r="D43" s="55" t="s">
        <v>286</v>
      </c>
      <c r="F43" s="21">
        <v>30000</v>
      </c>
      <c r="H43" s="21">
        <f t="shared" si="0"/>
        <v>1593125.0675084358</v>
      </c>
      <c r="M43" s="156">
        <v>50000</v>
      </c>
    </row>
    <row r="44" spans="2:13" ht="15" hidden="1" customHeight="1">
      <c r="B44" s="19">
        <v>42270</v>
      </c>
      <c r="D44" s="55" t="s">
        <v>286</v>
      </c>
      <c r="F44" s="21">
        <v>30000</v>
      </c>
      <c r="H44" s="21">
        <f t="shared" si="0"/>
        <v>1623125.0675084358</v>
      </c>
      <c r="M44" s="156">
        <v>50000</v>
      </c>
    </row>
    <row r="45" spans="2:13" ht="15" hidden="1" customHeight="1">
      <c r="B45" s="19">
        <v>42293</v>
      </c>
      <c r="D45" t="s">
        <v>662</v>
      </c>
      <c r="F45" s="291">
        <v>30000</v>
      </c>
      <c r="H45" s="21">
        <f t="shared" si="0"/>
        <v>1653125.0675084358</v>
      </c>
      <c r="M45" s="156">
        <v>50000</v>
      </c>
    </row>
    <row r="46" spans="2:13" ht="15" hidden="1" customHeight="1">
      <c r="B46" s="19">
        <v>42340</v>
      </c>
      <c r="D46" t="s">
        <v>662</v>
      </c>
      <c r="F46" s="291">
        <v>30000</v>
      </c>
      <c r="H46" s="21">
        <f t="shared" si="0"/>
        <v>1683125.0675084358</v>
      </c>
      <c r="M46" s="156">
        <v>50000</v>
      </c>
    </row>
    <row r="47" spans="2:13" ht="15" hidden="1" customHeight="1">
      <c r="B47" s="336">
        <v>42369</v>
      </c>
      <c r="D47" s="55" t="s">
        <v>694</v>
      </c>
      <c r="F47" s="21">
        <v>65499.377785976096</v>
      </c>
      <c r="H47" s="21">
        <f t="shared" si="0"/>
        <v>1748624.4452944119</v>
      </c>
      <c r="M47" s="156">
        <v>50000</v>
      </c>
    </row>
    <row r="48" spans="2:13" ht="15" hidden="1" customHeight="1">
      <c r="B48" s="19">
        <v>42381</v>
      </c>
      <c r="D48" t="s">
        <v>286</v>
      </c>
      <c r="F48" s="21">
        <v>29000</v>
      </c>
      <c r="H48" s="21">
        <f t="shared" si="0"/>
        <v>1777624.4452944119</v>
      </c>
      <c r="M48" s="156">
        <v>50000</v>
      </c>
    </row>
    <row r="49" spans="2:13" ht="15" hidden="1" customHeight="1">
      <c r="B49" s="19">
        <v>42402</v>
      </c>
      <c r="D49" t="s">
        <v>286</v>
      </c>
      <c r="F49" s="21">
        <v>29000</v>
      </c>
      <c r="H49" s="21">
        <f t="shared" si="0"/>
        <v>1806624.4452944119</v>
      </c>
      <c r="M49" s="156">
        <v>50000</v>
      </c>
    </row>
    <row r="50" spans="2:13" ht="15" hidden="1" customHeight="1">
      <c r="B50" s="19">
        <v>42431</v>
      </c>
      <c r="D50" t="s">
        <v>695</v>
      </c>
      <c r="F50" s="21">
        <v>29000</v>
      </c>
      <c r="H50" s="21">
        <f t="shared" si="0"/>
        <v>1835624.4452944119</v>
      </c>
      <c r="M50" s="156">
        <v>50000</v>
      </c>
    </row>
    <row r="51" spans="2:13" ht="15" hidden="1" customHeight="1">
      <c r="B51" s="336">
        <v>42502</v>
      </c>
      <c r="D51" t="s">
        <v>695</v>
      </c>
      <c r="F51" s="21">
        <v>29000</v>
      </c>
      <c r="H51" s="21">
        <f t="shared" si="0"/>
        <v>1864624.4452944119</v>
      </c>
      <c r="M51" s="156">
        <v>50000</v>
      </c>
    </row>
    <row r="52" spans="2:13" ht="15" hidden="1" customHeight="1">
      <c r="B52" s="19">
        <v>42564</v>
      </c>
      <c r="D52" s="55" t="s">
        <v>286</v>
      </c>
      <c r="F52" s="21">
        <v>29000</v>
      </c>
      <c r="H52" s="21">
        <f t="shared" si="0"/>
        <v>1893624.4452944119</v>
      </c>
      <c r="M52" s="156">
        <v>50000</v>
      </c>
    </row>
    <row r="53" spans="2:13" ht="15" hidden="1" customHeight="1">
      <c r="B53" s="351">
        <v>42598</v>
      </c>
      <c r="C53" s="352" t="s">
        <v>713</v>
      </c>
      <c r="D53" s="325"/>
      <c r="E53" s="325"/>
      <c r="F53" s="326">
        <v>29000</v>
      </c>
      <c r="H53" s="21">
        <f t="shared" si="0"/>
        <v>1922624.4452944119</v>
      </c>
      <c r="M53" s="156">
        <v>50000</v>
      </c>
    </row>
    <row r="54" spans="2:13" ht="15" hidden="1" customHeight="1">
      <c r="B54" s="351">
        <v>42632</v>
      </c>
      <c r="C54" s="353" t="s">
        <v>718</v>
      </c>
      <c r="D54" s="325"/>
      <c r="E54" s="325"/>
      <c r="F54" s="326">
        <v>50000</v>
      </c>
      <c r="H54" s="21">
        <f t="shared" si="0"/>
        <v>1972624.4452944119</v>
      </c>
      <c r="M54" s="21">
        <v>50000</v>
      </c>
    </row>
    <row r="55" spans="2:13" ht="15" hidden="1" customHeight="1">
      <c r="B55" s="19">
        <v>42686</v>
      </c>
      <c r="D55" s="325" t="s">
        <v>286</v>
      </c>
      <c r="F55" s="21">
        <v>29000</v>
      </c>
      <c r="H55" s="21">
        <f t="shared" si="0"/>
        <v>2001624.4452944119</v>
      </c>
      <c r="M55" s="21">
        <v>50000</v>
      </c>
    </row>
    <row r="56" spans="2:13" ht="15" hidden="1" customHeight="1">
      <c r="B56" s="351">
        <v>42735</v>
      </c>
      <c r="C56" s="353"/>
      <c r="D56" s="421" t="s">
        <v>732</v>
      </c>
      <c r="E56" s="325"/>
      <c r="F56" s="21">
        <v>97898.745738671612</v>
      </c>
      <c r="H56" s="21">
        <f t="shared" si="0"/>
        <v>2099523.1910330835</v>
      </c>
      <c r="M56" s="21">
        <v>50000</v>
      </c>
    </row>
    <row r="57" spans="2:13" ht="15" hidden="1" customHeight="1">
      <c r="B57" s="351">
        <v>42752</v>
      </c>
      <c r="C57" s="324" t="s">
        <v>662</v>
      </c>
      <c r="D57" s="325"/>
      <c r="F57" s="326">
        <v>39000</v>
      </c>
      <c r="H57" s="21">
        <f t="shared" si="0"/>
        <v>2138523.1910330835</v>
      </c>
      <c r="M57" s="156">
        <v>50000</v>
      </c>
    </row>
    <row r="58" spans="2:13" hidden="1">
      <c r="B58" s="19">
        <v>42787</v>
      </c>
      <c r="D58" t="s">
        <v>738</v>
      </c>
      <c r="F58" s="21">
        <v>40000</v>
      </c>
      <c r="H58" s="21">
        <f t="shared" si="0"/>
        <v>2178523.1910330835</v>
      </c>
      <c r="M58" s="156">
        <v>50000</v>
      </c>
    </row>
    <row r="59" spans="2:13" hidden="1">
      <c r="B59" s="336">
        <v>42817</v>
      </c>
      <c r="D59" s="55" t="s">
        <v>738</v>
      </c>
      <c r="F59" s="21">
        <v>50000</v>
      </c>
      <c r="H59" s="21">
        <f t="shared" si="0"/>
        <v>2228523.1910330835</v>
      </c>
    </row>
    <row r="60" spans="2:13">
      <c r="B60" s="336">
        <v>42843</v>
      </c>
      <c r="D60" s="55" t="s">
        <v>738</v>
      </c>
      <c r="F60" s="21">
        <v>50000</v>
      </c>
      <c r="H60" s="21">
        <f t="shared" si="0"/>
        <v>2278523.1910330835</v>
      </c>
    </row>
    <row r="61" spans="2:13">
      <c r="B61" s="336">
        <v>42860</v>
      </c>
      <c r="D61" s="55" t="s">
        <v>662</v>
      </c>
      <c r="F61" s="21">
        <v>50000</v>
      </c>
      <c r="H61" s="21">
        <f t="shared" si="0"/>
        <v>2328523.1910330835</v>
      </c>
    </row>
    <row r="62" spans="2:13">
      <c r="B62" s="356">
        <v>42917</v>
      </c>
      <c r="C62" s="324"/>
      <c r="D62" s="421" t="s">
        <v>762</v>
      </c>
      <c r="E62" s="325"/>
      <c r="F62" s="326"/>
      <c r="G62" s="137">
        <v>100000</v>
      </c>
      <c r="H62" s="21">
        <f t="shared" si="0"/>
        <v>2228523.1910330835</v>
      </c>
    </row>
    <row r="63" spans="2:13">
      <c r="B63" s="356">
        <v>42917</v>
      </c>
      <c r="C63" s="324"/>
      <c r="D63" s="421" t="s">
        <v>763</v>
      </c>
      <c r="E63" s="325"/>
      <c r="F63" s="326"/>
      <c r="G63" s="137">
        <v>100000</v>
      </c>
      <c r="H63" s="21">
        <f t="shared" si="0"/>
        <v>2128523.1910330835</v>
      </c>
    </row>
    <row r="64" spans="2:13">
      <c r="B64" s="336">
        <v>42958</v>
      </c>
      <c r="D64" s="421" t="s">
        <v>286</v>
      </c>
      <c r="F64" s="21">
        <v>50000</v>
      </c>
      <c r="H64" s="21">
        <f t="shared" si="0"/>
        <v>2178523.1910330835</v>
      </c>
    </row>
    <row r="65" spans="2:8">
      <c r="B65" s="336">
        <v>43029</v>
      </c>
      <c r="D65" s="421" t="s">
        <v>286</v>
      </c>
      <c r="F65" s="21">
        <v>50000</v>
      </c>
      <c r="H65" s="21">
        <f t="shared" si="0"/>
        <v>2228523.1910330835</v>
      </c>
    </row>
    <row r="66" spans="2:8">
      <c r="B66" s="336">
        <v>43055</v>
      </c>
      <c r="D66" s="421" t="s">
        <v>831</v>
      </c>
      <c r="F66" s="21">
        <v>60000</v>
      </c>
      <c r="H66" s="21">
        <f t="shared" si="0"/>
        <v>2288523.1910330835</v>
      </c>
    </row>
    <row r="67" spans="2:8">
      <c r="B67" s="336">
        <v>43082</v>
      </c>
      <c r="D67" s="421" t="s">
        <v>839</v>
      </c>
      <c r="F67" s="21">
        <v>50000</v>
      </c>
      <c r="H67" s="21">
        <f t="shared" si="0"/>
        <v>2338523.1910330835</v>
      </c>
    </row>
    <row r="68" spans="2:8">
      <c r="B68" s="336">
        <v>43114</v>
      </c>
      <c r="D68" s="421" t="s">
        <v>850</v>
      </c>
      <c r="F68" s="21">
        <v>50000</v>
      </c>
      <c r="H68" s="21">
        <f t="shared" si="0"/>
        <v>2388523.1910330835</v>
      </c>
    </row>
    <row r="69" spans="2:8">
      <c r="B69" s="336">
        <v>43145</v>
      </c>
      <c r="D69" s="421" t="s">
        <v>861</v>
      </c>
      <c r="F69" s="21">
        <v>50000</v>
      </c>
      <c r="H69" s="21">
        <f t="shared" si="0"/>
        <v>2438523.1910330835</v>
      </c>
    </row>
    <row r="70" spans="2:8">
      <c r="B70" s="336">
        <v>43173</v>
      </c>
      <c r="D70" s="421" t="s">
        <v>869</v>
      </c>
      <c r="F70" s="21">
        <v>50000</v>
      </c>
      <c r="H70" s="21">
        <f t="shared" si="0"/>
        <v>2488523.1910330835</v>
      </c>
    </row>
    <row r="71" spans="2:8">
      <c r="B71" s="336">
        <v>43206</v>
      </c>
      <c r="D71" s="421" t="s">
        <v>871</v>
      </c>
      <c r="F71" s="21">
        <v>50000</v>
      </c>
      <c r="H71" s="21">
        <f t="shared" si="0"/>
        <v>2538523.1910330835</v>
      </c>
    </row>
    <row r="72" spans="2:8">
      <c r="B72" s="336">
        <v>43240</v>
      </c>
      <c r="D72" s="421" t="s">
        <v>879</v>
      </c>
      <c r="F72" s="21">
        <v>50000</v>
      </c>
      <c r="H72" s="21">
        <f t="shared" si="0"/>
        <v>2588523.1910330835</v>
      </c>
    </row>
    <row r="73" spans="2:8">
      <c r="B73" s="336">
        <v>43286</v>
      </c>
      <c r="D73" s="421" t="s">
        <v>893</v>
      </c>
      <c r="F73" s="21">
        <v>50000</v>
      </c>
      <c r="H73" s="21">
        <f t="shared" si="0"/>
        <v>2638523.1910330835</v>
      </c>
    </row>
    <row r="74" spans="2:8">
      <c r="B74" s="336">
        <v>43328</v>
      </c>
      <c r="D74" s="421" t="s">
        <v>894</v>
      </c>
      <c r="F74" s="21">
        <v>50000</v>
      </c>
      <c r="H74" s="21">
        <f t="shared" si="0"/>
        <v>2688523.1910330835</v>
      </c>
    </row>
    <row r="75" spans="2:8">
      <c r="B75" s="336">
        <v>43367</v>
      </c>
      <c r="D75" s="421" t="s">
        <v>909</v>
      </c>
      <c r="F75" s="21">
        <v>50000</v>
      </c>
      <c r="H75" s="21">
        <f t="shared" si="0"/>
        <v>2738523.1910330835</v>
      </c>
    </row>
    <row r="76" spans="2:8">
      <c r="B76" s="336">
        <v>43410</v>
      </c>
      <c r="D76" s="421" t="s">
        <v>901</v>
      </c>
      <c r="F76" s="21">
        <v>50000</v>
      </c>
      <c r="H76" s="21">
        <f t="shared" si="0"/>
        <v>2788523.1910330835</v>
      </c>
    </row>
    <row r="77" spans="2:8">
      <c r="B77" s="336">
        <v>43470</v>
      </c>
      <c r="D77" s="421" t="s">
        <v>944</v>
      </c>
      <c r="F77" s="21">
        <v>50000</v>
      </c>
      <c r="H77" s="21">
        <f t="shared" si="0"/>
        <v>2838523.1910330835</v>
      </c>
    </row>
    <row r="78" spans="2:8">
      <c r="B78" s="336"/>
      <c r="D78" s="421" t="s">
        <v>1014</v>
      </c>
      <c r="F78" s="21">
        <v>253322.30116651295</v>
      </c>
      <c r="H78" s="21">
        <f t="shared" si="0"/>
        <v>3091845.4921995965</v>
      </c>
    </row>
    <row r="79" spans="2:8">
      <c r="B79" s="336"/>
      <c r="D79" s="421"/>
    </row>
    <row r="80" spans="2:8">
      <c r="B80" s="336"/>
      <c r="D80" s="421"/>
    </row>
    <row r="81" spans="2:16">
      <c r="B81" s="336"/>
      <c r="D81" s="421"/>
    </row>
    <row r="82" spans="2:16">
      <c r="B82" s="336"/>
      <c r="D82" s="421"/>
    </row>
    <row r="83" spans="2:16">
      <c r="B83" s="336"/>
      <c r="D83" s="421"/>
    </row>
    <row r="87" spans="2:16" ht="15" customHeight="1">
      <c r="D87" s="76" t="s">
        <v>307</v>
      </c>
      <c r="E87" s="48"/>
      <c r="F87" s="53">
        <f>SUM(F15:F86)</f>
        <v>3291845.4921995965</v>
      </c>
      <c r="G87" s="53">
        <f>SUM(G15:G86)</f>
        <v>200000</v>
      </c>
      <c r="H87" s="77">
        <f>F87-G87</f>
        <v>3091845.4921995965</v>
      </c>
      <c r="L87" s="92">
        <f>SUM(L3:L11)</f>
        <v>500000</v>
      </c>
      <c r="M87" s="156">
        <f>SUM(M3:M85)</f>
        <v>2115000</v>
      </c>
      <c r="N87" s="156">
        <f>SUM(N3:N11)</f>
        <v>127000</v>
      </c>
      <c r="O87" s="92">
        <f>SUM(O3:O11)</f>
        <v>96523.19103308348</v>
      </c>
      <c r="P87" s="92">
        <f>SUM(P3:P11)</f>
        <v>0</v>
      </c>
    </row>
    <row r="88" spans="2:16">
      <c r="P88" s="92">
        <f>SUM(L87:P87)</f>
        <v>2838523.1910330835</v>
      </c>
    </row>
    <row r="89" spans="2:16" ht="13.5" thickBot="1"/>
    <row r="90" spans="2:16" ht="13.5" thickBot="1">
      <c r="B90" s="221">
        <v>43659</v>
      </c>
      <c r="C90" s="324" t="s">
        <v>1097</v>
      </c>
      <c r="D90" s="325"/>
      <c r="E90" s="326"/>
      <c r="H90" s="542">
        <v>3091845.4921996002</v>
      </c>
    </row>
  </sheetData>
  <mergeCells count="2">
    <mergeCell ref="L1:P1"/>
    <mergeCell ref="D6:F6"/>
  </mergeCells>
  <phoneticPr fontId="37" type="noConversion"/>
  <pageMargins left="0.35433070866141736" right="0.74803149606299213" top="0.39370078740157483" bottom="0.39370078740157483" header="0.51181102362204722" footer="0.51181102362204722"/>
  <pageSetup paperSize="9" orientation="landscape" horizontalDpi="4294967293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F0"/>
  </sheetPr>
  <dimension ref="B1:P56"/>
  <sheetViews>
    <sheetView topLeftCell="A31" workbookViewId="0">
      <selection activeCell="D1" sqref="D1"/>
    </sheetView>
  </sheetViews>
  <sheetFormatPr defaultRowHeight="12.75"/>
  <cols>
    <col min="1" max="1" width="0.7109375" style="55" customWidth="1"/>
    <col min="2" max="2" width="11.28515625" style="54" customWidth="1"/>
    <col min="3" max="3" width="1.5703125" style="55" customWidth="1"/>
    <col min="4" max="4" width="9.140625" style="55"/>
    <col min="5" max="5" width="14.42578125" style="55" customWidth="1"/>
    <col min="6" max="6" width="12" style="66" customWidth="1"/>
    <col min="7" max="7" width="12.28515625" style="66" customWidth="1"/>
    <col min="8" max="8" width="13.7109375" style="66" customWidth="1"/>
    <col min="9" max="9" width="5" style="55" customWidth="1"/>
    <col min="10" max="11" width="9.140625" style="55"/>
    <col min="12" max="12" width="14.140625" style="55" customWidth="1"/>
    <col min="13" max="13" width="14.140625" style="313" customWidth="1"/>
    <col min="14" max="15" width="14.140625" style="55" customWidth="1"/>
    <col min="16" max="16" width="17.140625" style="55" customWidth="1"/>
    <col min="17" max="16384" width="9.140625" style="55"/>
  </cols>
  <sheetData>
    <row r="1" spans="2:16">
      <c r="B1" s="54" t="s">
        <v>49</v>
      </c>
      <c r="C1" s="55" t="s">
        <v>3</v>
      </c>
      <c r="D1" s="55" t="s">
        <v>409</v>
      </c>
      <c r="G1" s="307" t="s">
        <v>60</v>
      </c>
      <c r="L1" s="682" t="s">
        <v>337</v>
      </c>
      <c r="M1" s="682"/>
      <c r="N1" s="682"/>
      <c r="O1" s="682"/>
      <c r="P1" s="682"/>
    </row>
    <row r="2" spans="2:16">
      <c r="B2" s="54" t="s">
        <v>50</v>
      </c>
      <c r="C2" s="55" t="s">
        <v>3</v>
      </c>
      <c r="D2" s="158" t="s">
        <v>152</v>
      </c>
      <c r="G2" s="307" t="s">
        <v>53</v>
      </c>
      <c r="L2" s="163" t="s">
        <v>338</v>
      </c>
      <c r="M2" s="315" t="s">
        <v>339</v>
      </c>
      <c r="N2" s="163" t="s">
        <v>340</v>
      </c>
      <c r="O2" s="163" t="s">
        <v>393</v>
      </c>
      <c r="P2" s="163" t="s">
        <v>341</v>
      </c>
    </row>
    <row r="3" spans="2:16">
      <c r="B3" s="54" t="s">
        <v>11</v>
      </c>
      <c r="C3" s="55" t="s">
        <v>3</v>
      </c>
      <c r="D3" s="25" t="s">
        <v>410</v>
      </c>
      <c r="G3" s="307" t="s">
        <v>61</v>
      </c>
      <c r="H3" s="55"/>
      <c r="L3" s="309">
        <f>F15</f>
        <v>500000</v>
      </c>
      <c r="M3" s="313">
        <f t="shared" ref="M3:M8" si="0">F16</f>
        <v>25000</v>
      </c>
      <c r="N3" s="309"/>
      <c r="O3" s="309">
        <v>59572.545247418253</v>
      </c>
      <c r="P3" s="309"/>
    </row>
    <row r="4" spans="2:16">
      <c r="D4" s="55" t="s">
        <v>411</v>
      </c>
      <c r="G4" s="307" t="s">
        <v>379</v>
      </c>
      <c r="H4" s="66" t="s">
        <v>412</v>
      </c>
      <c r="M4" s="313">
        <f t="shared" si="0"/>
        <v>25000</v>
      </c>
      <c r="O4" s="309">
        <v>-59000</v>
      </c>
    </row>
    <row r="5" spans="2:16">
      <c r="G5" s="307"/>
      <c r="M5" s="313">
        <f t="shared" si="0"/>
        <v>25000</v>
      </c>
      <c r="O5" s="318">
        <v>49967.259108445571</v>
      </c>
    </row>
    <row r="6" spans="2:16">
      <c r="D6" s="683" t="s">
        <v>472</v>
      </c>
      <c r="E6" s="683"/>
      <c r="F6" s="683"/>
      <c r="G6" s="307" t="s">
        <v>381</v>
      </c>
      <c r="H6" s="66" t="str">
        <f>H4</f>
        <v>07/03/20013</v>
      </c>
      <c r="M6" s="313">
        <f t="shared" si="0"/>
        <v>25000</v>
      </c>
      <c r="O6" s="66">
        <v>41854.993030104379</v>
      </c>
    </row>
    <row r="7" spans="2:16">
      <c r="G7" s="24" t="s">
        <v>55</v>
      </c>
      <c r="M7" s="313">
        <f t="shared" si="0"/>
        <v>25000</v>
      </c>
      <c r="O7" s="66">
        <v>54651.38548650837</v>
      </c>
    </row>
    <row r="8" spans="2:16">
      <c r="G8" s="307"/>
      <c r="M8" s="313">
        <f t="shared" si="0"/>
        <v>50000</v>
      </c>
      <c r="O8" s="318">
        <v>-100000</v>
      </c>
    </row>
    <row r="9" spans="2:16">
      <c r="M9" s="313">
        <v>50000</v>
      </c>
    </row>
    <row r="10" spans="2:16">
      <c r="M10" s="313">
        <v>50000</v>
      </c>
    </row>
    <row r="11" spans="2:16">
      <c r="G11" s="307" t="s">
        <v>56</v>
      </c>
      <c r="M11" s="313">
        <v>50000</v>
      </c>
    </row>
    <row r="12" spans="2:16">
      <c r="M12" s="313">
        <v>50000</v>
      </c>
    </row>
    <row r="13" spans="2:16">
      <c r="M13" s="313">
        <v>50000</v>
      </c>
    </row>
    <row r="14" spans="2:16">
      <c r="B14" s="54" t="s">
        <v>57</v>
      </c>
      <c r="D14" s="55" t="s">
        <v>58</v>
      </c>
      <c r="F14" s="310" t="s">
        <v>87</v>
      </c>
      <c r="G14" s="310" t="s">
        <v>88</v>
      </c>
      <c r="H14" s="310" t="s">
        <v>89</v>
      </c>
      <c r="M14" s="313">
        <v>50000</v>
      </c>
    </row>
    <row r="15" spans="2:16" ht="15" customHeight="1">
      <c r="B15" s="54">
        <v>41340</v>
      </c>
      <c r="D15" s="55" t="s">
        <v>59</v>
      </c>
      <c r="F15" s="66">
        <v>500000</v>
      </c>
      <c r="G15" s="311"/>
      <c r="H15" s="66">
        <f>F15-G15</f>
        <v>500000</v>
      </c>
      <c r="M15" s="313">
        <v>50000</v>
      </c>
    </row>
    <row r="16" spans="2:16" ht="15" customHeight="1">
      <c r="B16" s="54">
        <v>41340</v>
      </c>
      <c r="D16" s="55" t="s">
        <v>413</v>
      </c>
      <c r="F16" s="66">
        <v>25000</v>
      </c>
      <c r="H16" s="66">
        <f t="shared" ref="H16:H35" si="1">H15+F16-G16</f>
        <v>525000</v>
      </c>
      <c r="M16" s="313">
        <v>-100000</v>
      </c>
    </row>
    <row r="17" spans="2:8" ht="15" customHeight="1">
      <c r="B17" s="54">
        <v>41374</v>
      </c>
      <c r="D17" s="55" t="s">
        <v>420</v>
      </c>
      <c r="F17" s="66">
        <v>25000</v>
      </c>
      <c r="H17" s="66">
        <f t="shared" si="1"/>
        <v>550000</v>
      </c>
    </row>
    <row r="18" spans="2:8" ht="15" customHeight="1">
      <c r="B18" s="54">
        <v>41426</v>
      </c>
      <c r="D18" s="55" t="s">
        <v>440</v>
      </c>
      <c r="F18" s="66">
        <v>25000</v>
      </c>
      <c r="H18" s="66">
        <f t="shared" si="1"/>
        <v>575000</v>
      </c>
    </row>
    <row r="19" spans="2:8" ht="15" customHeight="1">
      <c r="B19" s="54">
        <v>41440</v>
      </c>
      <c r="D19" s="55" t="s">
        <v>446</v>
      </c>
      <c r="F19" s="66">
        <v>25000</v>
      </c>
      <c r="H19" s="66">
        <f t="shared" si="1"/>
        <v>600000</v>
      </c>
    </row>
    <row r="20" spans="2:8" ht="15" customHeight="1">
      <c r="B20" s="54">
        <v>41462</v>
      </c>
      <c r="D20" s="55" t="s">
        <v>457</v>
      </c>
      <c r="F20" s="66">
        <v>25000</v>
      </c>
      <c r="H20" s="66">
        <f t="shared" si="1"/>
        <v>625000</v>
      </c>
    </row>
    <row r="21" spans="2:8" ht="15" customHeight="1">
      <c r="B21" s="314">
        <v>41532</v>
      </c>
      <c r="C21" s="144" t="s">
        <v>479</v>
      </c>
      <c r="D21" s="168"/>
      <c r="F21" s="309">
        <v>50000</v>
      </c>
      <c r="H21" s="66">
        <f t="shared" si="1"/>
        <v>675000</v>
      </c>
    </row>
    <row r="22" spans="2:8" ht="15" customHeight="1">
      <c r="B22" s="314">
        <v>41601</v>
      </c>
      <c r="D22" s="168" t="s">
        <v>492</v>
      </c>
      <c r="F22" s="66">
        <v>50000</v>
      </c>
      <c r="H22" s="66">
        <f t="shared" si="1"/>
        <v>725000</v>
      </c>
    </row>
    <row r="23" spans="2:8" ht="15" customHeight="1">
      <c r="B23" s="54">
        <v>41640</v>
      </c>
      <c r="D23" s="55" t="s">
        <v>499</v>
      </c>
      <c r="F23" s="66">
        <v>59572.545247418253</v>
      </c>
      <c r="H23" s="66">
        <f t="shared" si="1"/>
        <v>784572.54524741822</v>
      </c>
    </row>
    <row r="24" spans="2:8" ht="15" customHeight="1">
      <c r="B24" s="54">
        <v>41640</v>
      </c>
      <c r="D24" s="55" t="s">
        <v>503</v>
      </c>
      <c r="G24" s="66">
        <v>59000</v>
      </c>
      <c r="H24" s="66">
        <f t="shared" si="1"/>
        <v>725572.54524741822</v>
      </c>
    </row>
    <row r="25" spans="2:8" ht="15" customHeight="1">
      <c r="B25" s="54">
        <v>41692</v>
      </c>
      <c r="D25" s="55" t="s">
        <v>523</v>
      </c>
      <c r="F25" s="66">
        <v>50000</v>
      </c>
      <c r="H25" s="66">
        <f t="shared" si="1"/>
        <v>775572.54524741822</v>
      </c>
    </row>
    <row r="26" spans="2:8" ht="15" customHeight="1">
      <c r="B26" s="54">
        <v>41732</v>
      </c>
      <c r="D26" s="55" t="s">
        <v>527</v>
      </c>
      <c r="F26" s="66">
        <v>50000</v>
      </c>
      <c r="H26" s="66">
        <f t="shared" si="1"/>
        <v>825572.54524741822</v>
      </c>
    </row>
    <row r="27" spans="2:8" ht="15" customHeight="1">
      <c r="B27" s="54">
        <v>41763</v>
      </c>
      <c r="D27" s="55" t="s">
        <v>533</v>
      </c>
      <c r="F27" s="66">
        <v>50000</v>
      </c>
      <c r="H27" s="66">
        <f t="shared" si="1"/>
        <v>875572.54524741822</v>
      </c>
    </row>
    <row r="28" spans="2:8" ht="15" customHeight="1">
      <c r="B28" s="54">
        <v>41858</v>
      </c>
      <c r="D28" s="55" t="s">
        <v>539</v>
      </c>
      <c r="F28" s="66">
        <v>50000</v>
      </c>
      <c r="H28" s="66">
        <f t="shared" si="1"/>
        <v>925572.54524741822</v>
      </c>
    </row>
    <row r="29" spans="2:8" ht="15" customHeight="1">
      <c r="B29" s="54">
        <v>42004</v>
      </c>
      <c r="D29" s="55" t="s">
        <v>577</v>
      </c>
      <c r="F29" s="66">
        <v>50000</v>
      </c>
      <c r="H29" s="66">
        <f t="shared" si="1"/>
        <v>975572.54524741822</v>
      </c>
    </row>
    <row r="30" spans="2:8" ht="15" customHeight="1">
      <c r="B30" s="54">
        <v>42004</v>
      </c>
      <c r="D30" s="55" t="s">
        <v>592</v>
      </c>
      <c r="F30" s="66">
        <v>49967.259108445571</v>
      </c>
      <c r="H30" s="66">
        <f t="shared" si="1"/>
        <v>1025539.8043558638</v>
      </c>
    </row>
    <row r="31" spans="2:8" ht="15" customHeight="1">
      <c r="B31" s="54">
        <v>42093</v>
      </c>
      <c r="D31" s="55" t="s">
        <v>286</v>
      </c>
      <c r="F31" s="66">
        <v>50000</v>
      </c>
      <c r="H31" s="66">
        <f t="shared" si="1"/>
        <v>1075539.8043558639</v>
      </c>
    </row>
    <row r="32" spans="2:8" ht="15" customHeight="1">
      <c r="B32" s="54">
        <v>42369</v>
      </c>
      <c r="D32" s="55" t="s">
        <v>686</v>
      </c>
      <c r="F32" s="66">
        <v>41854.993030104379</v>
      </c>
      <c r="H32" s="66">
        <f t="shared" si="1"/>
        <v>1117394.7973859683</v>
      </c>
    </row>
    <row r="33" spans="2:8" ht="15" customHeight="1">
      <c r="B33" s="54">
        <v>42369</v>
      </c>
      <c r="D33" s="55" t="s">
        <v>726</v>
      </c>
      <c r="F33" s="66">
        <v>54651.38548650837</v>
      </c>
      <c r="H33" s="66">
        <f t="shared" si="1"/>
        <v>1172046.1828724765</v>
      </c>
    </row>
    <row r="34" spans="2:8" ht="15" customHeight="1">
      <c r="B34" s="54">
        <v>42917</v>
      </c>
      <c r="D34" s="55" t="s">
        <v>762</v>
      </c>
      <c r="G34" s="66">
        <v>100000</v>
      </c>
      <c r="H34" s="66">
        <f t="shared" si="1"/>
        <v>1072046.1828724765</v>
      </c>
    </row>
    <row r="35" spans="2:8" ht="15" customHeight="1">
      <c r="B35" s="54">
        <v>42917</v>
      </c>
      <c r="D35" s="55" t="s">
        <v>763</v>
      </c>
      <c r="G35" s="66">
        <v>100000</v>
      </c>
      <c r="H35" s="66">
        <f t="shared" si="1"/>
        <v>972046.18287247652</v>
      </c>
    </row>
    <row r="36" spans="2:8" ht="15" customHeight="1"/>
    <row r="37" spans="2:8" ht="15" customHeight="1"/>
    <row r="38" spans="2:8" ht="15" customHeight="1"/>
    <row r="39" spans="2:8" ht="15" customHeight="1"/>
    <row r="40" spans="2:8" ht="15" customHeight="1"/>
    <row r="41" spans="2:8" ht="15" customHeight="1"/>
    <row r="42" spans="2:8" ht="15" customHeight="1"/>
    <row r="43" spans="2:8" ht="15" customHeight="1"/>
    <row r="44" spans="2:8" ht="15" customHeight="1"/>
    <row r="45" spans="2:8" ht="15" customHeight="1"/>
    <row r="46" spans="2:8" ht="15" customHeight="1"/>
    <row r="47" spans="2:8" ht="15" customHeight="1"/>
    <row r="48" spans="2:8" ht="15" customHeight="1"/>
    <row r="49" spans="4:16" ht="15" customHeight="1"/>
    <row r="50" spans="4:16" ht="15" customHeight="1"/>
    <row r="55" spans="4:16" ht="15" customHeight="1">
      <c r="D55" s="76" t="s">
        <v>307</v>
      </c>
      <c r="E55" s="316"/>
      <c r="F55" s="66">
        <f>SUM(F15:F54)</f>
        <v>1231046.1828724765</v>
      </c>
      <c r="G55" s="66">
        <f>SUM(G15:G54)</f>
        <v>259000</v>
      </c>
      <c r="H55" s="317">
        <f>F55-G55</f>
        <v>972046.18287247652</v>
      </c>
      <c r="L55" s="309">
        <f>SUM(L3:L11)</f>
        <v>500000</v>
      </c>
      <c r="M55" s="313">
        <f>SUM(M3:M33)</f>
        <v>425000</v>
      </c>
      <c r="N55" s="309">
        <f>SUM(N3:N11)</f>
        <v>0</v>
      </c>
      <c r="O55" s="309">
        <f>SUM(O3:O11)</f>
        <v>47046.18287247658</v>
      </c>
      <c r="P55" s="309">
        <f>SUM(P3:P11)</f>
        <v>0</v>
      </c>
    </row>
    <row r="56" spans="4:16">
      <c r="P56" s="309">
        <f>SUM(L55:P55)</f>
        <v>972046.18287247652</v>
      </c>
    </row>
  </sheetData>
  <mergeCells count="2">
    <mergeCell ref="L1:P1"/>
    <mergeCell ref="D6:F6"/>
  </mergeCells>
  <phoneticPr fontId="41" type="noConversion"/>
  <pageMargins left="0.31496062992125984" right="0.70866141732283472" top="0.35433070866141736" bottom="0.35433070866141736" header="0.31496062992125984" footer="0.31496062992125984"/>
  <pageSetup paperSize="9" scale="90" orientation="landscape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F0"/>
  </sheetPr>
  <dimension ref="B1:P67"/>
  <sheetViews>
    <sheetView topLeftCell="A16" zoomScale="70" zoomScaleNormal="70" workbookViewId="0">
      <selection activeCell="L1" sqref="L1:P1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93" t="s">
        <v>462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24" t="s">
        <v>155</v>
      </c>
      <c r="G2" s="18" t="s">
        <v>53</v>
      </c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97" t="s">
        <v>463</v>
      </c>
      <c r="G3" s="18" t="s">
        <v>61</v>
      </c>
      <c r="H3"/>
      <c r="L3" s="92">
        <f>F15</f>
        <v>500000</v>
      </c>
      <c r="M3" s="156">
        <f>F16</f>
        <v>50000</v>
      </c>
      <c r="N3" s="92">
        <f>F17</f>
        <v>10000</v>
      </c>
      <c r="O3" s="92">
        <v>27153.675242465968</v>
      </c>
      <c r="P3" s="92"/>
    </row>
    <row r="4" spans="2:16">
      <c r="D4" s="93" t="s">
        <v>411</v>
      </c>
      <c r="G4" s="89" t="s">
        <v>379</v>
      </c>
      <c r="H4" s="99" t="s">
        <v>464</v>
      </c>
      <c r="M4" s="156">
        <f>F18</f>
        <v>50000</v>
      </c>
      <c r="N4" s="92">
        <f>F19</f>
        <v>10000</v>
      </c>
      <c r="O4" s="92">
        <v>-27000</v>
      </c>
    </row>
    <row r="5" spans="2:16">
      <c r="G5" s="18"/>
      <c r="M5" s="156">
        <v>50000</v>
      </c>
      <c r="O5" s="156">
        <v>51226.26511227835</v>
      </c>
    </row>
    <row r="6" spans="2:16">
      <c r="C6" s="169"/>
      <c r="D6" s="169"/>
      <c r="E6" s="169"/>
      <c r="G6" s="89" t="s">
        <v>381</v>
      </c>
      <c r="H6" s="21" t="str">
        <f>H4</f>
        <v>21/07/20013</v>
      </c>
      <c r="M6" s="156">
        <v>30000</v>
      </c>
      <c r="O6" s="156">
        <v>40914.803801142516</v>
      </c>
    </row>
    <row r="7" spans="2:16">
      <c r="G7" s="24" t="s">
        <v>55</v>
      </c>
      <c r="M7" s="156">
        <v>60000</v>
      </c>
      <c r="O7" s="156">
        <v>85215.021509618295</v>
      </c>
    </row>
    <row r="8" spans="2:16">
      <c r="G8" s="18"/>
      <c r="M8" s="156">
        <v>60000</v>
      </c>
    </row>
    <row r="9" spans="2:16">
      <c r="M9" s="156">
        <v>60000</v>
      </c>
    </row>
    <row r="10" spans="2:16">
      <c r="M10" s="156">
        <v>60000</v>
      </c>
    </row>
    <row r="11" spans="2:16">
      <c r="G11" s="18" t="s">
        <v>56</v>
      </c>
      <c r="M11" s="156">
        <v>60000</v>
      </c>
    </row>
    <row r="12" spans="2:16">
      <c r="M12" s="322">
        <v>200000</v>
      </c>
    </row>
    <row r="13" spans="2:16">
      <c r="M13" s="156">
        <v>150000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200000</v>
      </c>
    </row>
    <row r="15" spans="2:16" ht="15" customHeight="1">
      <c r="B15" s="19">
        <v>41476</v>
      </c>
      <c r="D15" s="93" t="s">
        <v>465</v>
      </c>
      <c r="F15" s="21">
        <v>500000</v>
      </c>
      <c r="H15" s="21">
        <f>F15-G15</f>
        <v>500000</v>
      </c>
      <c r="M15" s="156">
        <v>100000</v>
      </c>
    </row>
    <row r="16" spans="2:16" ht="15" customHeight="1">
      <c r="B16" s="143">
        <v>41530</v>
      </c>
      <c r="C16" s="144" t="s">
        <v>477</v>
      </c>
      <c r="D16" s="145"/>
      <c r="F16" s="23">
        <v>50000</v>
      </c>
      <c r="H16" s="21">
        <f>H15+F16-G16</f>
        <v>550000</v>
      </c>
      <c r="M16" s="156">
        <v>100000</v>
      </c>
    </row>
    <row r="17" spans="2:13" ht="15" customHeight="1">
      <c r="B17" s="143">
        <v>41530</v>
      </c>
      <c r="C17" s="144" t="s">
        <v>478</v>
      </c>
      <c r="D17" s="145"/>
      <c r="F17" s="23">
        <v>10000</v>
      </c>
      <c r="H17" s="21">
        <f>H16+F17-G17</f>
        <v>560000</v>
      </c>
      <c r="M17" s="156">
        <v>-100000</v>
      </c>
    </row>
    <row r="18" spans="2:13" ht="15" customHeight="1">
      <c r="B18" s="143">
        <v>41580</v>
      </c>
      <c r="D18" s="55" t="s">
        <v>487</v>
      </c>
      <c r="F18" s="21">
        <v>50000</v>
      </c>
      <c r="H18" s="21">
        <f t="shared" ref="H18:H38" si="0">H17+F18-G18</f>
        <v>610000</v>
      </c>
      <c r="M18" s="156">
        <v>-100000</v>
      </c>
    </row>
    <row r="19" spans="2:13" ht="15" customHeight="1">
      <c r="B19" s="143">
        <v>41580</v>
      </c>
      <c r="D19" s="55" t="s">
        <v>282</v>
      </c>
      <c r="F19" s="21">
        <v>10000</v>
      </c>
      <c r="H19" s="21">
        <f t="shared" si="0"/>
        <v>620000</v>
      </c>
    </row>
    <row r="20" spans="2:13" ht="15" customHeight="1">
      <c r="B20" s="19">
        <v>41640</v>
      </c>
      <c r="D20" t="s">
        <v>499</v>
      </c>
      <c r="F20" s="21">
        <v>27153.675242465968</v>
      </c>
      <c r="H20" s="21">
        <f t="shared" si="0"/>
        <v>647153.67524246592</v>
      </c>
    </row>
    <row r="21" spans="2:13" ht="15" customHeight="1">
      <c r="B21" s="19">
        <v>41640</v>
      </c>
      <c r="D21" t="s">
        <v>503</v>
      </c>
      <c r="G21" s="21">
        <v>27000</v>
      </c>
      <c r="H21" s="21">
        <f t="shared" si="0"/>
        <v>620153.67524246592</v>
      </c>
    </row>
    <row r="22" spans="2:13" ht="15" customHeight="1">
      <c r="B22" s="19">
        <v>41644</v>
      </c>
      <c r="D22" t="s">
        <v>506</v>
      </c>
      <c r="F22" s="21">
        <v>50000</v>
      </c>
      <c r="H22" s="21">
        <f t="shared" si="0"/>
        <v>670153.67524246592</v>
      </c>
    </row>
    <row r="23" spans="2:13" ht="15" customHeight="1">
      <c r="B23" s="19">
        <v>41684</v>
      </c>
      <c r="D23" t="s">
        <v>522</v>
      </c>
      <c r="F23" s="21">
        <v>30000</v>
      </c>
      <c r="H23" s="21">
        <f t="shared" si="0"/>
        <v>700153.67524246592</v>
      </c>
    </row>
    <row r="24" spans="2:13" ht="15" customHeight="1">
      <c r="B24" s="19">
        <v>41733</v>
      </c>
      <c r="D24" s="55" t="s">
        <v>528</v>
      </c>
      <c r="F24" s="21">
        <v>60000</v>
      </c>
      <c r="H24" s="21">
        <f t="shared" si="0"/>
        <v>760153.67524246592</v>
      </c>
    </row>
    <row r="25" spans="2:13" ht="15" customHeight="1">
      <c r="B25" s="19">
        <v>41796</v>
      </c>
      <c r="D25" s="55" t="s">
        <v>531</v>
      </c>
      <c r="F25" s="21">
        <v>60000</v>
      </c>
      <c r="H25" s="21">
        <f t="shared" si="0"/>
        <v>820153.67524246592</v>
      </c>
    </row>
    <row r="26" spans="2:13" ht="15" customHeight="1">
      <c r="B26" s="19">
        <v>41859</v>
      </c>
      <c r="D26" s="55" t="s">
        <v>546</v>
      </c>
      <c r="F26" s="21">
        <v>60000</v>
      </c>
      <c r="H26" s="21">
        <f t="shared" si="0"/>
        <v>880153.67524246592</v>
      </c>
    </row>
    <row r="27" spans="2:13" ht="15" customHeight="1">
      <c r="B27" s="19">
        <v>41916</v>
      </c>
      <c r="D27" s="55" t="s">
        <v>556</v>
      </c>
      <c r="F27" s="21">
        <v>60000</v>
      </c>
      <c r="H27" s="21">
        <f t="shared" si="0"/>
        <v>940153.67524246592</v>
      </c>
    </row>
    <row r="28" spans="2:13" ht="15" customHeight="1">
      <c r="B28" s="336">
        <v>42004</v>
      </c>
      <c r="D28" s="55" t="s">
        <v>591</v>
      </c>
      <c r="F28" s="323">
        <v>51226.26511227835</v>
      </c>
      <c r="H28" s="21">
        <f t="shared" si="0"/>
        <v>991379.94035474432</v>
      </c>
    </row>
    <row r="29" spans="2:13" ht="15" customHeight="1">
      <c r="B29" s="19">
        <v>41991</v>
      </c>
      <c r="D29" s="55" t="s">
        <v>568</v>
      </c>
      <c r="F29" s="21">
        <v>60000</v>
      </c>
      <c r="H29" s="21">
        <f t="shared" si="0"/>
        <v>1051379.9403547444</v>
      </c>
    </row>
    <row r="30" spans="2:13" ht="15" customHeight="1">
      <c r="B30" s="19">
        <v>42258</v>
      </c>
      <c r="D30" s="55" t="s">
        <v>652</v>
      </c>
      <c r="F30" s="21">
        <v>200000</v>
      </c>
      <c r="H30" s="21">
        <f t="shared" si="0"/>
        <v>1251379.9403547444</v>
      </c>
    </row>
    <row r="31" spans="2:13" ht="15" customHeight="1">
      <c r="B31" s="19">
        <v>42369</v>
      </c>
      <c r="D31" s="55" t="s">
        <v>686</v>
      </c>
      <c r="F31" s="291">
        <v>40914.803801142516</v>
      </c>
      <c r="H31" s="21">
        <f t="shared" si="0"/>
        <v>1292294.744155887</v>
      </c>
    </row>
    <row r="32" spans="2:13" ht="15" customHeight="1">
      <c r="B32" s="19">
        <v>42531</v>
      </c>
      <c r="D32" s="55" t="s">
        <v>704</v>
      </c>
      <c r="F32" s="21">
        <v>150000</v>
      </c>
      <c r="H32" s="21">
        <f t="shared" si="0"/>
        <v>1442294.744155887</v>
      </c>
    </row>
    <row r="33" spans="2:8" ht="15" customHeight="1">
      <c r="B33" s="351">
        <v>42627</v>
      </c>
      <c r="C33" s="352" t="s">
        <v>717</v>
      </c>
      <c r="D33" s="325"/>
      <c r="E33" s="325"/>
      <c r="F33" s="326">
        <v>200000</v>
      </c>
      <c r="H33" s="21">
        <f t="shared" si="0"/>
        <v>1642294.744155887</v>
      </c>
    </row>
    <row r="34" spans="2:8" ht="15" customHeight="1">
      <c r="B34" s="19">
        <v>42716</v>
      </c>
      <c r="D34" s="343" t="s">
        <v>724</v>
      </c>
      <c r="F34" s="21">
        <v>100000</v>
      </c>
      <c r="H34" s="21">
        <f t="shared" si="0"/>
        <v>1742294.744155887</v>
      </c>
    </row>
    <row r="35" spans="2:8" ht="15" customHeight="1">
      <c r="B35" s="336">
        <v>42735</v>
      </c>
      <c r="D35" s="343" t="s">
        <v>726</v>
      </c>
      <c r="F35" s="21">
        <v>85215.021509618295</v>
      </c>
      <c r="H35" s="21">
        <f t="shared" si="0"/>
        <v>1827509.7656655053</v>
      </c>
    </row>
    <row r="36" spans="2:8" ht="15" customHeight="1">
      <c r="B36" s="19">
        <v>42839</v>
      </c>
      <c r="D36" s="343" t="s">
        <v>286</v>
      </c>
      <c r="F36" s="21">
        <v>100000</v>
      </c>
      <c r="H36" s="21">
        <f t="shared" si="0"/>
        <v>1927509.7656655053</v>
      </c>
    </row>
    <row r="37" spans="2:8" ht="15" customHeight="1">
      <c r="B37" s="336">
        <v>42917</v>
      </c>
      <c r="D37" s="343" t="s">
        <v>762</v>
      </c>
      <c r="G37" s="21">
        <v>100000</v>
      </c>
      <c r="H37" s="21">
        <f t="shared" si="0"/>
        <v>1827509.7656655053</v>
      </c>
    </row>
    <row r="38" spans="2:8" ht="15" customHeight="1">
      <c r="B38" s="336">
        <v>42917</v>
      </c>
      <c r="D38" s="343" t="s">
        <v>763</v>
      </c>
      <c r="G38" s="21">
        <v>100000</v>
      </c>
      <c r="H38" s="21">
        <f t="shared" si="0"/>
        <v>1727509.7656655053</v>
      </c>
    </row>
    <row r="39" spans="2:8" ht="15" customHeight="1">
      <c r="B39" s="336"/>
      <c r="D39" s="343"/>
    </row>
    <row r="40" spans="2:8" ht="15" customHeight="1">
      <c r="B40" s="336"/>
      <c r="D40" s="343"/>
    </row>
    <row r="41" spans="2:8" ht="15" customHeight="1">
      <c r="B41" s="336"/>
    </row>
    <row r="42" spans="2:8" ht="15" customHeight="1">
      <c r="D42" s="55"/>
    </row>
    <row r="43" spans="2:8" ht="15" customHeight="1">
      <c r="D43" s="55"/>
    </row>
    <row r="44" spans="2:8" ht="15" customHeight="1">
      <c r="D44" s="55"/>
    </row>
    <row r="45" spans="2:8" ht="15" customHeight="1"/>
    <row r="46" spans="2:8" ht="15" customHeight="1"/>
    <row r="47" spans="2:8" ht="15" customHeight="1"/>
    <row r="48" spans="2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6" spans="4:16" ht="15" customHeight="1">
      <c r="D66" s="76" t="s">
        <v>307</v>
      </c>
      <c r="E66" s="48"/>
      <c r="F66" s="53">
        <f>SUM(F15:F65)</f>
        <v>1954509.7656655053</v>
      </c>
      <c r="G66" s="53">
        <f>SUM(G15:G65)</f>
        <v>227000</v>
      </c>
      <c r="H66" s="77">
        <f>F66-G66</f>
        <v>1727509.7656655053</v>
      </c>
      <c r="L66" s="92">
        <f>SUM(L3:L11)</f>
        <v>500000</v>
      </c>
      <c r="M66" s="156">
        <f>SUM(M3:M44)</f>
        <v>1030000</v>
      </c>
      <c r="N66" s="92">
        <f>SUM(N3:N11)</f>
        <v>20000</v>
      </c>
      <c r="O66" s="92">
        <f>SUM(O3:O11)</f>
        <v>177509.76566550514</v>
      </c>
      <c r="P66" s="92">
        <f>SUM(P3:P11)</f>
        <v>0</v>
      </c>
    </row>
    <row r="67" spans="4:16">
      <c r="P67" s="92">
        <f>SUM(L66:P66)</f>
        <v>1727509.7656655051</v>
      </c>
    </row>
  </sheetData>
  <mergeCells count="1">
    <mergeCell ref="L1:P1"/>
  </mergeCells>
  <pageMargins left="0.31496062992125984" right="0.70866141732283472" top="0.35433070866141736" bottom="0.35433070866141736" header="0.31496062992125984" footer="0.31496062992125984"/>
  <pageSetup paperSize="9" scale="90" orientation="landscape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B1:P51"/>
  <sheetViews>
    <sheetView topLeftCell="A22" workbookViewId="0">
      <selection activeCell="N60" sqref="N60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842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157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463</v>
      </c>
      <c r="G3" s="18" t="s">
        <v>61</v>
      </c>
      <c r="H3"/>
      <c r="L3" s="92">
        <f>F15</f>
        <v>500000</v>
      </c>
      <c r="M3" s="92">
        <f>F16</f>
        <v>0</v>
      </c>
      <c r="N3" s="92"/>
      <c r="O3" s="92"/>
      <c r="P3" s="92"/>
    </row>
    <row r="4" spans="2:16">
      <c r="D4" s="93" t="s">
        <v>411</v>
      </c>
      <c r="G4" s="89" t="s">
        <v>379</v>
      </c>
      <c r="H4" s="141">
        <f>B15</f>
        <v>43082</v>
      </c>
      <c r="L4" s="92"/>
      <c r="M4" s="92"/>
      <c r="N4" s="92"/>
      <c r="O4" s="92"/>
    </row>
    <row r="5" spans="2:16">
      <c r="G5" s="18"/>
      <c r="M5" s="92"/>
    </row>
    <row r="6" spans="2:16">
      <c r="C6" s="683" t="s">
        <v>472</v>
      </c>
      <c r="D6" s="683"/>
      <c r="E6" s="683"/>
      <c r="G6" s="89" t="s">
        <v>381</v>
      </c>
      <c r="H6" s="142">
        <f>H4</f>
        <v>43082</v>
      </c>
      <c r="M6" s="92"/>
    </row>
    <row r="7" spans="2:16">
      <c r="G7" s="24" t="s">
        <v>55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43082</v>
      </c>
      <c r="D15" s="93" t="s">
        <v>465</v>
      </c>
      <c r="F15" s="21">
        <v>500000</v>
      </c>
      <c r="H15" s="21">
        <f>F15-G15</f>
        <v>500000</v>
      </c>
    </row>
    <row r="16" spans="2:16" ht="15" customHeight="1">
      <c r="D16" s="93"/>
    </row>
    <row r="17" spans="2:4" ht="15" customHeight="1"/>
    <row r="18" spans="2:4" ht="15" customHeight="1"/>
    <row r="19" spans="2:4" ht="15" customHeight="1">
      <c r="D19" s="55"/>
    </row>
    <row r="20" spans="2:4" ht="15" customHeight="1">
      <c r="D20" s="55"/>
    </row>
    <row r="21" spans="2:4" ht="15" customHeight="1">
      <c r="B21" s="337"/>
      <c r="D21" s="55"/>
    </row>
    <row r="22" spans="2:4" ht="15" customHeight="1"/>
    <row r="23" spans="2:4" ht="15" customHeight="1">
      <c r="B23"/>
    </row>
    <row r="24" spans="2:4" ht="15" customHeight="1">
      <c r="B24"/>
    </row>
    <row r="25" spans="2:4" ht="15" customHeight="1">
      <c r="B25"/>
    </row>
    <row r="26" spans="2:4" ht="15" customHeight="1">
      <c r="B26"/>
    </row>
    <row r="27" spans="2:4" ht="15" customHeight="1">
      <c r="B27"/>
    </row>
    <row r="28" spans="2:4" ht="15" customHeight="1">
      <c r="B28"/>
    </row>
    <row r="29" spans="2:4" ht="15" customHeight="1">
      <c r="B29"/>
    </row>
    <row r="30" spans="2:4" ht="15" customHeight="1">
      <c r="B30"/>
    </row>
    <row r="31" spans="2:4" ht="15" customHeight="1">
      <c r="B31"/>
    </row>
    <row r="32" spans="2:4" ht="15" customHeight="1">
      <c r="B32"/>
    </row>
    <row r="33" spans="2:16">
      <c r="B33"/>
      <c r="F33"/>
      <c r="G33"/>
      <c r="H33"/>
      <c r="L33"/>
      <c r="M33"/>
      <c r="N33"/>
      <c r="O33"/>
      <c r="P33" s="342"/>
    </row>
    <row r="34" spans="2:16">
      <c r="B34"/>
      <c r="F34"/>
      <c r="G34"/>
      <c r="H34"/>
      <c r="L34"/>
      <c r="M34"/>
      <c r="N34"/>
      <c r="O34"/>
      <c r="P34"/>
    </row>
    <row r="35" spans="2:16">
      <c r="B35"/>
      <c r="F35"/>
      <c r="G35"/>
      <c r="H35"/>
      <c r="L35"/>
      <c r="M35"/>
      <c r="N35"/>
      <c r="O35"/>
      <c r="P35"/>
    </row>
    <row r="36" spans="2:16">
      <c r="B36"/>
      <c r="F36"/>
      <c r="G36"/>
      <c r="H36"/>
      <c r="L36"/>
      <c r="M36"/>
      <c r="N36"/>
      <c r="O36"/>
      <c r="P36"/>
    </row>
    <row r="37" spans="2:16">
      <c r="B37"/>
      <c r="F37"/>
      <c r="G37"/>
      <c r="H37"/>
      <c r="L37"/>
      <c r="M37"/>
      <c r="N37"/>
      <c r="O37"/>
      <c r="P37"/>
    </row>
    <row r="38" spans="2:16">
      <c r="B38"/>
      <c r="F38"/>
      <c r="G38"/>
      <c r="H38"/>
      <c r="L38"/>
      <c r="M38"/>
      <c r="N38"/>
      <c r="O38"/>
      <c r="P38"/>
    </row>
    <row r="39" spans="2:16">
      <c r="B39"/>
      <c r="F39"/>
      <c r="G39"/>
      <c r="H39"/>
      <c r="L39"/>
      <c r="M39"/>
      <c r="N39"/>
      <c r="O39"/>
      <c r="P39"/>
    </row>
    <row r="40" spans="2:16">
      <c r="B40"/>
      <c r="F40"/>
      <c r="G40"/>
      <c r="H40"/>
      <c r="L40"/>
      <c r="M40"/>
      <c r="N40"/>
      <c r="O40"/>
      <c r="P40"/>
    </row>
    <row r="41" spans="2:16">
      <c r="B41"/>
      <c r="F41"/>
      <c r="G41"/>
      <c r="H41"/>
      <c r="L41"/>
      <c r="M41"/>
      <c r="N41"/>
      <c r="O41"/>
      <c r="P41"/>
    </row>
    <row r="42" spans="2:16">
      <c r="B42"/>
      <c r="F42"/>
      <c r="G42"/>
      <c r="H42"/>
      <c r="L42"/>
      <c r="M42"/>
      <c r="N42"/>
      <c r="O42"/>
      <c r="P42"/>
    </row>
    <row r="43" spans="2:16">
      <c r="B43"/>
      <c r="F43"/>
      <c r="G43"/>
      <c r="H43"/>
      <c r="L43"/>
      <c r="M43"/>
      <c r="N43"/>
      <c r="O43"/>
      <c r="P43"/>
    </row>
    <row r="44" spans="2:16">
      <c r="B44"/>
      <c r="F44"/>
      <c r="G44"/>
      <c r="H44"/>
      <c r="L44"/>
      <c r="M44"/>
      <c r="N44"/>
      <c r="O44"/>
      <c r="P44"/>
    </row>
    <row r="45" spans="2:16">
      <c r="B45"/>
      <c r="F45"/>
      <c r="G45"/>
      <c r="H45"/>
      <c r="L45"/>
      <c r="M45"/>
      <c r="N45"/>
      <c r="O45"/>
      <c r="P45"/>
    </row>
    <row r="50" spans="4:16" customFormat="1">
      <c r="D50" s="76" t="s">
        <v>307</v>
      </c>
      <c r="E50" s="48"/>
      <c r="F50" s="53">
        <f>SUM(F15:F49)</f>
        <v>500000</v>
      </c>
      <c r="G50" s="53">
        <f>SUM(G15:G49)</f>
        <v>0</v>
      </c>
      <c r="H50" s="77">
        <f>F50-G50</f>
        <v>500000</v>
      </c>
      <c r="L50" s="92">
        <f>SUM(L3:L11)</f>
        <v>500000</v>
      </c>
      <c r="M50" s="92">
        <f>SUM(M3:M29)</f>
        <v>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500000</v>
      </c>
    </row>
  </sheetData>
  <mergeCells count="2">
    <mergeCell ref="L1:P1"/>
    <mergeCell ref="C6:E6"/>
  </mergeCells>
  <pageMargins left="0.31496062992125984" right="0.70866141732283472" top="0.35433070866141736" bottom="0.35433070866141736" header="0.31496062992125984" footer="0.31496062992125984"/>
  <pageSetup paperSize="9" scale="90" orientation="landscape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F0"/>
  </sheetPr>
  <dimension ref="B1:P51"/>
  <sheetViews>
    <sheetView topLeftCell="A16" workbookViewId="0">
      <selection activeCell="M15" sqref="M15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511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159</v>
      </c>
      <c r="G2" s="18" t="s">
        <v>53</v>
      </c>
      <c r="H2" s="159">
        <v>760713380527</v>
      </c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512</v>
      </c>
      <c r="G3" s="18" t="s">
        <v>61</v>
      </c>
      <c r="H3"/>
      <c r="L3" s="92">
        <f>F15</f>
        <v>500000</v>
      </c>
      <c r="M3" s="156">
        <f>F16</f>
        <v>200000</v>
      </c>
      <c r="N3" s="92"/>
      <c r="O3" s="92">
        <v>35852.875879201012</v>
      </c>
      <c r="P3" s="92"/>
    </row>
    <row r="4" spans="2:16">
      <c r="D4" s="93" t="s">
        <v>411</v>
      </c>
      <c r="G4" s="89" t="s">
        <v>379</v>
      </c>
      <c r="H4" s="141">
        <v>41621</v>
      </c>
      <c r="L4" s="92"/>
      <c r="M4" s="156">
        <v>150000</v>
      </c>
      <c r="N4" s="92"/>
      <c r="O4" s="21">
        <v>44202.096482723988</v>
      </c>
    </row>
    <row r="5" spans="2:16">
      <c r="G5" s="18"/>
      <c r="M5" s="156">
        <v>250000</v>
      </c>
      <c r="O5" s="21">
        <v>57716.072547226991</v>
      </c>
    </row>
    <row r="6" spans="2:16">
      <c r="C6" s="683" t="s">
        <v>472</v>
      </c>
      <c r="D6" s="683"/>
      <c r="E6" s="683"/>
      <c r="G6" s="89" t="s">
        <v>381</v>
      </c>
      <c r="H6" s="142">
        <f>H4</f>
        <v>41621</v>
      </c>
      <c r="M6" s="313">
        <v>-100000</v>
      </c>
      <c r="N6" s="55"/>
      <c r="O6" s="318">
        <v>-100000</v>
      </c>
    </row>
    <row r="7" spans="2:16">
      <c r="G7" s="24" t="s">
        <v>55</v>
      </c>
      <c r="M7" s="156">
        <v>100000</v>
      </c>
    </row>
    <row r="8" spans="2:16">
      <c r="G8" s="18"/>
      <c r="M8" s="156">
        <v>100000</v>
      </c>
    </row>
    <row r="9" spans="2:16">
      <c r="M9" s="156">
        <v>50000</v>
      </c>
    </row>
    <row r="10" spans="2:16">
      <c r="M10" s="156">
        <v>50000</v>
      </c>
    </row>
    <row r="11" spans="2:16">
      <c r="G11" s="18" t="s">
        <v>56</v>
      </c>
      <c r="M11" s="156">
        <v>50000</v>
      </c>
    </row>
    <row r="12" spans="2:16">
      <c r="M12" s="156">
        <v>50000</v>
      </c>
    </row>
    <row r="13" spans="2:16">
      <c r="M13" s="156">
        <v>100000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100000</v>
      </c>
    </row>
    <row r="15" spans="2:16" ht="15" customHeight="1">
      <c r="B15" s="19">
        <v>41666</v>
      </c>
      <c r="D15" s="93" t="s">
        <v>465</v>
      </c>
      <c r="F15" s="21">
        <v>500000</v>
      </c>
      <c r="H15" s="21">
        <f>F15-G15</f>
        <v>500000</v>
      </c>
    </row>
    <row r="16" spans="2:16" ht="15" customHeight="1">
      <c r="B16" s="19">
        <v>41644</v>
      </c>
      <c r="D16" s="55" t="s">
        <v>532</v>
      </c>
      <c r="F16" s="21">
        <v>200000</v>
      </c>
      <c r="H16" s="21">
        <f>H15+F16-G16</f>
        <v>700000</v>
      </c>
    </row>
    <row r="17" spans="2:8" ht="15" customHeight="1">
      <c r="B17" s="19">
        <v>42005</v>
      </c>
      <c r="D17" s="55" t="s">
        <v>591</v>
      </c>
      <c r="F17" s="21">
        <v>35852.875879201012</v>
      </c>
      <c r="H17" s="21">
        <f t="shared" ref="H17:H30" si="0">H16+F17-G17</f>
        <v>735852.87587920099</v>
      </c>
    </row>
    <row r="18" spans="2:8" ht="15" customHeight="1">
      <c r="B18" s="19">
        <v>42033</v>
      </c>
      <c r="D18" s="55" t="s">
        <v>604</v>
      </c>
      <c r="F18" s="21">
        <v>150000</v>
      </c>
      <c r="H18" s="21">
        <f t="shared" si="0"/>
        <v>885852.87587920099</v>
      </c>
    </row>
    <row r="19" spans="2:8" ht="15" customHeight="1">
      <c r="B19" s="19">
        <v>42290</v>
      </c>
      <c r="D19" s="55" t="s">
        <v>656</v>
      </c>
      <c r="F19" s="21">
        <v>250000</v>
      </c>
      <c r="H19" s="21">
        <f t="shared" si="0"/>
        <v>1135852.8758792011</v>
      </c>
    </row>
    <row r="20" spans="2:8" ht="15" customHeight="1">
      <c r="B20" s="337">
        <v>42369</v>
      </c>
      <c r="D20" s="55" t="s">
        <v>686</v>
      </c>
      <c r="F20" s="21">
        <v>44202.096482723988</v>
      </c>
      <c r="H20" s="21">
        <f t="shared" si="0"/>
        <v>1180054.9723619251</v>
      </c>
    </row>
    <row r="21" spans="2:8" ht="15" customHeight="1">
      <c r="B21" s="337">
        <v>42735</v>
      </c>
      <c r="D21" s="55" t="s">
        <v>726</v>
      </c>
      <c r="F21" s="21">
        <v>57716.072547226991</v>
      </c>
      <c r="H21" s="21">
        <f t="shared" si="0"/>
        <v>1237771.044909152</v>
      </c>
    </row>
    <row r="22" spans="2:8" ht="15" customHeight="1">
      <c r="B22" s="54">
        <v>42917</v>
      </c>
      <c r="C22" s="55"/>
      <c r="D22" s="55" t="s">
        <v>762</v>
      </c>
      <c r="E22" s="55"/>
      <c r="F22" s="66"/>
      <c r="G22" s="66">
        <v>100000</v>
      </c>
      <c r="H22" s="21">
        <f t="shared" si="0"/>
        <v>1137771.044909152</v>
      </c>
    </row>
    <row r="23" spans="2:8" ht="15" customHeight="1">
      <c r="B23" s="54">
        <v>42917</v>
      </c>
      <c r="C23" s="55"/>
      <c r="D23" s="55" t="s">
        <v>763</v>
      </c>
      <c r="E23" s="55"/>
      <c r="F23" s="66"/>
      <c r="G23" s="66">
        <v>100000</v>
      </c>
      <c r="H23" s="21">
        <f t="shared" si="0"/>
        <v>1037771.044909152</v>
      </c>
    </row>
    <row r="24" spans="2:8" ht="15" customHeight="1">
      <c r="B24" s="337">
        <v>42996</v>
      </c>
      <c r="D24" s="105" t="s">
        <v>778</v>
      </c>
      <c r="E24" s="55" t="s">
        <v>286</v>
      </c>
      <c r="F24" s="326">
        <v>100000</v>
      </c>
      <c r="G24" s="55"/>
      <c r="H24" s="21">
        <f t="shared" si="0"/>
        <v>1137771.044909152</v>
      </c>
    </row>
    <row r="25" spans="2:8" ht="15" customHeight="1">
      <c r="B25" s="337">
        <v>43033</v>
      </c>
      <c r="D25" s="55" t="s">
        <v>802</v>
      </c>
      <c r="E25" t="s">
        <v>286</v>
      </c>
      <c r="F25" s="21">
        <v>100000</v>
      </c>
      <c r="H25" s="21">
        <f t="shared" si="0"/>
        <v>1237771.044909152</v>
      </c>
    </row>
    <row r="26" spans="2:8" ht="15" customHeight="1">
      <c r="B26" s="337">
        <v>43105</v>
      </c>
      <c r="D26" s="55" t="s">
        <v>844</v>
      </c>
      <c r="F26" s="21">
        <v>50000</v>
      </c>
      <c r="H26" s="21">
        <f t="shared" si="0"/>
        <v>1287771.044909152</v>
      </c>
    </row>
    <row r="27" spans="2:8" ht="15" customHeight="1">
      <c r="B27" s="337">
        <v>43135</v>
      </c>
      <c r="D27" s="55" t="s">
        <v>858</v>
      </c>
      <c r="F27" s="21">
        <v>50000</v>
      </c>
      <c r="H27" s="21">
        <f t="shared" si="0"/>
        <v>1337771.044909152</v>
      </c>
    </row>
    <row r="28" spans="2:8" ht="15" customHeight="1">
      <c r="B28" s="337">
        <v>43149</v>
      </c>
      <c r="D28" s="55" t="s">
        <v>859</v>
      </c>
      <c r="F28" s="21">
        <v>50000</v>
      </c>
      <c r="H28" s="21">
        <f t="shared" si="0"/>
        <v>1387771.044909152</v>
      </c>
    </row>
    <row r="29" spans="2:8" ht="15" customHeight="1">
      <c r="B29" s="337">
        <v>43191</v>
      </c>
      <c r="D29" s="55" t="s">
        <v>873</v>
      </c>
      <c r="F29" s="21">
        <v>50000</v>
      </c>
      <c r="H29" s="21">
        <f t="shared" si="0"/>
        <v>1437771.044909152</v>
      </c>
    </row>
    <row r="30" spans="2:8" ht="15" customHeight="1">
      <c r="B30" s="337">
        <v>43240</v>
      </c>
      <c r="D30" s="55" t="s">
        <v>878</v>
      </c>
      <c r="F30" s="21">
        <v>100000</v>
      </c>
      <c r="H30" s="21">
        <f t="shared" si="0"/>
        <v>1537771.044909152</v>
      </c>
    </row>
    <row r="31" spans="2:8" ht="15" customHeight="1">
      <c r="B31" s="337">
        <v>43300</v>
      </c>
      <c r="D31" s="55" t="s">
        <v>898</v>
      </c>
      <c r="F31" s="21">
        <v>100000</v>
      </c>
    </row>
    <row r="32" spans="2:8" ht="15" customHeight="1">
      <c r="B32"/>
    </row>
    <row r="33" spans="2:16">
      <c r="B33"/>
      <c r="F33"/>
      <c r="G33"/>
      <c r="H33"/>
      <c r="L33"/>
      <c r="M33" s="291"/>
      <c r="N33"/>
      <c r="O33"/>
      <c r="P33"/>
    </row>
    <row r="34" spans="2:16">
      <c r="B34"/>
      <c r="F34"/>
      <c r="G34"/>
      <c r="H34"/>
      <c r="L34"/>
      <c r="M34" s="291"/>
      <c r="N34"/>
      <c r="O34"/>
      <c r="P34"/>
    </row>
    <row r="35" spans="2:16">
      <c r="B35"/>
      <c r="F35"/>
      <c r="G35"/>
      <c r="H35"/>
      <c r="L35"/>
      <c r="M35" s="291"/>
      <c r="N35"/>
      <c r="O35"/>
      <c r="P35"/>
    </row>
    <row r="36" spans="2:16">
      <c r="B36"/>
      <c r="F36"/>
      <c r="G36"/>
      <c r="H36"/>
      <c r="L36"/>
      <c r="M36" s="291"/>
      <c r="N36"/>
      <c r="O36"/>
      <c r="P36"/>
    </row>
    <row r="37" spans="2:16">
      <c r="B37"/>
      <c r="F37"/>
      <c r="G37"/>
      <c r="H37"/>
      <c r="L37"/>
      <c r="M37" s="291"/>
      <c r="N37"/>
      <c r="O37"/>
      <c r="P37"/>
    </row>
    <row r="38" spans="2:16">
      <c r="B38"/>
      <c r="F38"/>
      <c r="G38"/>
      <c r="H38"/>
      <c r="L38"/>
      <c r="M38" s="291"/>
      <c r="N38"/>
      <c r="O38"/>
      <c r="P38"/>
    </row>
    <row r="39" spans="2:16">
      <c r="B39"/>
      <c r="F39"/>
      <c r="G39"/>
      <c r="H39"/>
      <c r="L39"/>
      <c r="M39" s="291"/>
      <c r="N39"/>
      <c r="O39"/>
      <c r="P39"/>
    </row>
    <row r="40" spans="2:16">
      <c r="B40"/>
      <c r="F40"/>
      <c r="G40"/>
      <c r="H40"/>
      <c r="L40"/>
      <c r="M40" s="291"/>
      <c r="N40"/>
      <c r="O40"/>
      <c r="P40"/>
    </row>
    <row r="41" spans="2:16">
      <c r="B41"/>
      <c r="F41"/>
      <c r="G41"/>
      <c r="H41"/>
      <c r="L41"/>
      <c r="M41" s="291"/>
      <c r="N41"/>
      <c r="O41"/>
      <c r="P41"/>
    </row>
    <row r="42" spans="2:16">
      <c r="B42"/>
      <c r="F42"/>
      <c r="G42"/>
      <c r="H42"/>
      <c r="L42"/>
      <c r="M42" s="291"/>
      <c r="N42"/>
      <c r="O42"/>
      <c r="P42"/>
    </row>
    <row r="43" spans="2:16">
      <c r="B43"/>
      <c r="F43"/>
      <c r="G43"/>
      <c r="H43"/>
      <c r="L43"/>
      <c r="M43" s="291"/>
      <c r="N43"/>
      <c r="O43"/>
      <c r="P43"/>
    </row>
    <row r="44" spans="2:16">
      <c r="B44"/>
      <c r="F44"/>
      <c r="G44"/>
      <c r="H44"/>
      <c r="L44"/>
      <c r="M44" s="291"/>
      <c r="N44"/>
      <c r="O44"/>
      <c r="P44"/>
    </row>
    <row r="45" spans="2:16">
      <c r="B45"/>
      <c r="F45"/>
      <c r="G45"/>
      <c r="H45"/>
      <c r="L45"/>
      <c r="M45" s="291"/>
      <c r="N45"/>
      <c r="O45"/>
      <c r="P45"/>
    </row>
    <row r="50" spans="4:16" customFormat="1">
      <c r="D50" s="76" t="s">
        <v>307</v>
      </c>
      <c r="E50" s="48"/>
      <c r="F50" s="53">
        <f>SUM(F15:F49)</f>
        <v>1837771.044909152</v>
      </c>
      <c r="G50" s="53">
        <f>SUM(G15:G49)</f>
        <v>200000</v>
      </c>
      <c r="H50" s="77">
        <f>F50-G50</f>
        <v>1637771.044909152</v>
      </c>
      <c r="L50" s="92">
        <f>SUM(L3:L11)</f>
        <v>500000</v>
      </c>
      <c r="M50" s="156">
        <f>SUM(M3:M29)</f>
        <v>1100000</v>
      </c>
      <c r="N50" s="92">
        <f>SUM(N3:N11)</f>
        <v>0</v>
      </c>
      <c r="O50" s="92">
        <f>SUM(O3:O11)</f>
        <v>37771.044909151999</v>
      </c>
      <c r="P50" s="92">
        <f>SUM(P3:P11)</f>
        <v>0</v>
      </c>
    </row>
    <row r="51" spans="4:16">
      <c r="P51" s="92">
        <f>SUM(L50:P50)</f>
        <v>1637771.044909152</v>
      </c>
    </row>
  </sheetData>
  <mergeCells count="2">
    <mergeCell ref="L1:P1"/>
    <mergeCell ref="C6:E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F0"/>
  </sheetPr>
  <dimension ref="B1:P82"/>
  <sheetViews>
    <sheetView topLeftCell="A54" workbookViewId="0">
      <selection activeCell="M60" sqref="M60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517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160</v>
      </c>
      <c r="G2" s="18" t="s">
        <v>53</v>
      </c>
      <c r="H2" s="159">
        <v>760713380527</v>
      </c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518</v>
      </c>
      <c r="G3" s="18" t="s">
        <v>61</v>
      </c>
      <c r="H3"/>
      <c r="L3" s="92">
        <f>F15</f>
        <v>500000</v>
      </c>
      <c r="M3" s="156">
        <f>F16</f>
        <v>50000</v>
      </c>
      <c r="N3" s="92">
        <v>2500</v>
      </c>
      <c r="O3" s="92">
        <v>0</v>
      </c>
      <c r="P3" s="92"/>
    </row>
    <row r="4" spans="2:16">
      <c r="D4" s="93" t="s">
        <v>411</v>
      </c>
      <c r="G4" s="89" t="s">
        <v>379</v>
      </c>
      <c r="H4" s="141">
        <v>41621</v>
      </c>
      <c r="L4" s="92"/>
      <c r="M4" s="156">
        <v>25000</v>
      </c>
      <c r="N4" s="92">
        <v>2500</v>
      </c>
      <c r="O4" s="92">
        <v>32568.682623587749</v>
      </c>
    </row>
    <row r="5" spans="2:16">
      <c r="G5" s="18"/>
      <c r="M5" s="156">
        <v>25000</v>
      </c>
      <c r="O5" s="342">
        <v>44074.290998197517</v>
      </c>
    </row>
    <row r="6" spans="2:16">
      <c r="C6" s="683" t="s">
        <v>472</v>
      </c>
      <c r="D6" s="683"/>
      <c r="E6" s="683"/>
      <c r="G6" s="89" t="s">
        <v>381</v>
      </c>
      <c r="H6" s="142">
        <f>H4</f>
        <v>41621</v>
      </c>
      <c r="M6" s="156">
        <v>25000</v>
      </c>
      <c r="O6" s="342">
        <v>67331.122361320333</v>
      </c>
    </row>
    <row r="7" spans="2:16">
      <c r="G7" s="24" t="s">
        <v>55</v>
      </c>
      <c r="M7" s="156">
        <v>25000</v>
      </c>
      <c r="O7" s="21">
        <v>197028.4564628434</v>
      </c>
    </row>
    <row r="8" spans="2:16">
      <c r="G8" s="18"/>
      <c r="M8" s="156">
        <v>25000</v>
      </c>
      <c r="O8" s="21">
        <v>132896.83254431002</v>
      </c>
    </row>
    <row r="9" spans="2:16">
      <c r="M9" s="156">
        <v>25000</v>
      </c>
    </row>
    <row r="10" spans="2:16">
      <c r="M10" s="156">
        <v>25000</v>
      </c>
    </row>
    <row r="11" spans="2:16">
      <c r="G11" s="18" t="s">
        <v>56</v>
      </c>
      <c r="M11" s="156">
        <v>25000</v>
      </c>
    </row>
    <row r="12" spans="2:16">
      <c r="M12" s="156">
        <v>25000</v>
      </c>
    </row>
    <row r="13" spans="2:16">
      <c r="M13" s="156">
        <v>20000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322">
        <v>25000</v>
      </c>
    </row>
    <row r="15" spans="2:16" ht="15" hidden="1" customHeight="1">
      <c r="B15" s="19">
        <v>41680</v>
      </c>
      <c r="D15" s="93" t="s">
        <v>465</v>
      </c>
      <c r="F15" s="21">
        <v>500000</v>
      </c>
      <c r="H15" s="21">
        <f>F15-G15</f>
        <v>500000</v>
      </c>
      <c r="M15" s="156">
        <v>25000</v>
      </c>
    </row>
    <row r="16" spans="2:16" ht="15" hidden="1" customHeight="1">
      <c r="D16" s="55" t="s">
        <v>286</v>
      </c>
      <c r="F16" s="21">
        <v>50000</v>
      </c>
      <c r="H16" s="21">
        <f t="shared" ref="H16:H77" si="0">H15+F16-G16</f>
        <v>550000</v>
      </c>
      <c r="M16" s="322">
        <v>25000</v>
      </c>
    </row>
    <row r="17" spans="2:13" ht="15" hidden="1" customHeight="1">
      <c r="B17" s="19">
        <v>41701</v>
      </c>
      <c r="D17" s="55" t="s">
        <v>286</v>
      </c>
      <c r="F17" s="21">
        <v>25000</v>
      </c>
      <c r="H17" s="21">
        <f t="shared" si="0"/>
        <v>575000</v>
      </c>
      <c r="M17" s="156">
        <v>25000</v>
      </c>
    </row>
    <row r="18" spans="2:13" ht="15" hidden="1" customHeight="1">
      <c r="B18" s="19">
        <v>41734</v>
      </c>
      <c r="D18" s="55" t="s">
        <v>286</v>
      </c>
      <c r="F18" s="21">
        <v>25000</v>
      </c>
      <c r="H18" s="21">
        <f t="shared" si="0"/>
        <v>600000</v>
      </c>
      <c r="M18" s="156">
        <v>25000</v>
      </c>
    </row>
    <row r="19" spans="2:13" ht="15" hidden="1" customHeight="1">
      <c r="B19" s="19">
        <v>41767</v>
      </c>
      <c r="D19" s="55" t="s">
        <v>286</v>
      </c>
      <c r="F19" s="21">
        <v>25000</v>
      </c>
      <c r="H19" s="21">
        <f t="shared" si="0"/>
        <v>625000</v>
      </c>
      <c r="M19" s="156">
        <v>25000</v>
      </c>
    </row>
    <row r="20" spans="2:13" ht="15" hidden="1" customHeight="1">
      <c r="B20" s="19">
        <v>41797</v>
      </c>
      <c r="D20" s="55" t="s">
        <v>286</v>
      </c>
      <c r="F20" s="21">
        <v>25000</v>
      </c>
      <c r="H20" s="21">
        <f t="shared" si="0"/>
        <v>650000</v>
      </c>
      <c r="M20" s="156">
        <v>25000</v>
      </c>
    </row>
    <row r="21" spans="2:13" ht="15" hidden="1" customHeight="1">
      <c r="B21" s="19">
        <v>41825</v>
      </c>
      <c r="D21" s="55" t="s">
        <v>286</v>
      </c>
      <c r="F21" s="21">
        <v>25000</v>
      </c>
      <c r="H21" s="21">
        <f t="shared" si="0"/>
        <v>675000</v>
      </c>
      <c r="M21" s="156">
        <v>50000</v>
      </c>
    </row>
    <row r="22" spans="2:13" ht="15" hidden="1" customHeight="1">
      <c r="B22" s="19">
        <v>41858</v>
      </c>
      <c r="D22" s="55" t="s">
        <v>286</v>
      </c>
      <c r="F22" s="21">
        <v>25000</v>
      </c>
      <c r="H22" s="21">
        <f t="shared" si="0"/>
        <v>700000</v>
      </c>
      <c r="M22" s="156">
        <v>75000</v>
      </c>
    </row>
    <row r="23" spans="2:13" ht="15" hidden="1" customHeight="1">
      <c r="B23" s="19">
        <v>41888</v>
      </c>
      <c r="D23" s="55" t="s">
        <v>286</v>
      </c>
      <c r="F23" s="21">
        <v>25000</v>
      </c>
      <c r="H23" s="21">
        <f t="shared" si="0"/>
        <v>725000</v>
      </c>
      <c r="M23" s="156">
        <v>50000</v>
      </c>
    </row>
    <row r="24" spans="2:13" ht="15" hidden="1" customHeight="1">
      <c r="B24" s="19">
        <v>41918</v>
      </c>
      <c r="D24" s="55" t="s">
        <v>286</v>
      </c>
      <c r="F24" s="21">
        <v>25000</v>
      </c>
      <c r="H24" s="21">
        <f t="shared" si="0"/>
        <v>750000</v>
      </c>
      <c r="M24" s="156">
        <v>50000</v>
      </c>
    </row>
    <row r="25" spans="2:13" ht="15" hidden="1" customHeight="1">
      <c r="B25" s="19">
        <v>41949</v>
      </c>
      <c r="D25" s="55" t="s">
        <v>286</v>
      </c>
      <c r="F25" s="21">
        <v>25000</v>
      </c>
      <c r="H25" s="21">
        <f t="shared" si="0"/>
        <v>775000</v>
      </c>
      <c r="M25" s="156">
        <v>50000</v>
      </c>
    </row>
    <row r="26" spans="2:13" ht="15" hidden="1" customHeight="1">
      <c r="B26" s="302">
        <v>41978</v>
      </c>
      <c r="D26" s="55" t="s">
        <v>286</v>
      </c>
      <c r="F26" s="21">
        <v>22500</v>
      </c>
      <c r="H26" s="21">
        <f t="shared" si="0"/>
        <v>797500</v>
      </c>
      <c r="M26" s="156">
        <v>50000</v>
      </c>
    </row>
    <row r="27" spans="2:13" ht="15" hidden="1" customHeight="1">
      <c r="B27" s="302">
        <v>42001</v>
      </c>
      <c r="D27" s="55" t="s">
        <v>286</v>
      </c>
      <c r="F27" s="21">
        <v>27500</v>
      </c>
      <c r="H27" s="21">
        <f t="shared" si="0"/>
        <v>825000</v>
      </c>
      <c r="M27" s="323">
        <v>50000</v>
      </c>
    </row>
    <row r="28" spans="2:13" ht="15" hidden="1" customHeight="1">
      <c r="B28" s="302">
        <v>42006</v>
      </c>
      <c r="D28" s="55" t="s">
        <v>393</v>
      </c>
      <c r="F28" s="21">
        <v>32568.682623587749</v>
      </c>
      <c r="H28" s="21">
        <f t="shared" si="0"/>
        <v>857568.68262358778</v>
      </c>
      <c r="M28" s="156">
        <v>50000</v>
      </c>
    </row>
    <row r="29" spans="2:13" ht="15" hidden="1" customHeight="1">
      <c r="B29" s="302">
        <v>42039</v>
      </c>
      <c r="D29" s="55" t="s">
        <v>286</v>
      </c>
      <c r="F29" s="21">
        <v>25000</v>
      </c>
      <c r="H29" s="21">
        <f t="shared" si="0"/>
        <v>882568.68262358778</v>
      </c>
      <c r="M29" s="156">
        <v>50000</v>
      </c>
    </row>
    <row r="30" spans="2:13" ht="15" customHeight="1">
      <c r="B30" s="302">
        <v>42073</v>
      </c>
      <c r="D30" s="55" t="s">
        <v>286</v>
      </c>
      <c r="F30" s="21">
        <v>25000</v>
      </c>
      <c r="H30" s="21">
        <f t="shared" si="0"/>
        <v>907568.68262358778</v>
      </c>
      <c r="M30" s="322">
        <v>50000</v>
      </c>
    </row>
    <row r="31" spans="2:13" ht="15" customHeight="1">
      <c r="B31" s="302">
        <v>42108</v>
      </c>
      <c r="D31" s="55" t="s">
        <v>286</v>
      </c>
      <c r="F31" s="21">
        <v>25000</v>
      </c>
      <c r="H31" s="21">
        <f t="shared" si="0"/>
        <v>932568.68262358778</v>
      </c>
      <c r="L31" s="90"/>
      <c r="M31" s="156">
        <v>50000</v>
      </c>
    </row>
    <row r="32" spans="2:13" ht="15" customHeight="1">
      <c r="B32" s="302">
        <v>42152</v>
      </c>
      <c r="D32" s="55" t="s">
        <v>286</v>
      </c>
      <c r="F32" s="21">
        <v>25000</v>
      </c>
      <c r="H32" s="21">
        <f t="shared" si="0"/>
        <v>957568.68262358778</v>
      </c>
      <c r="M32" s="156">
        <v>-100000</v>
      </c>
    </row>
    <row r="33" spans="2:16">
      <c r="B33" s="302">
        <v>42164</v>
      </c>
      <c r="D33" s="55" t="s">
        <v>286</v>
      </c>
      <c r="F33" s="21">
        <v>25000</v>
      </c>
      <c r="G33"/>
      <c r="H33" s="21">
        <f t="shared" si="0"/>
        <v>982568.68262358778</v>
      </c>
      <c r="L33"/>
      <c r="M33" s="156">
        <v>-100000</v>
      </c>
      <c r="N33"/>
      <c r="O33"/>
      <c r="P33"/>
    </row>
    <row r="34" spans="2:16">
      <c r="B34" s="302">
        <v>42187</v>
      </c>
      <c r="D34" s="55" t="s">
        <v>286</v>
      </c>
      <c r="F34" s="21">
        <v>25000</v>
      </c>
      <c r="G34"/>
      <c r="H34" s="21">
        <f t="shared" si="0"/>
        <v>1007568.6826235878</v>
      </c>
      <c r="L34"/>
      <c r="M34" s="291">
        <v>50000</v>
      </c>
      <c r="N34"/>
      <c r="O34"/>
      <c r="P34"/>
    </row>
    <row r="35" spans="2:16">
      <c r="B35" s="302">
        <v>42228</v>
      </c>
      <c r="D35" s="55" t="s">
        <v>286</v>
      </c>
      <c r="F35" s="21">
        <v>50000</v>
      </c>
      <c r="G35"/>
      <c r="H35" s="21">
        <f t="shared" si="0"/>
        <v>1057568.6826235878</v>
      </c>
      <c r="M35" s="322">
        <v>50000</v>
      </c>
    </row>
    <row r="36" spans="2:16">
      <c r="B36" s="302">
        <v>42256</v>
      </c>
      <c r="D36" s="55" t="s">
        <v>286</v>
      </c>
      <c r="F36" s="21">
        <v>75000</v>
      </c>
      <c r="G36"/>
      <c r="H36" s="21">
        <f t="shared" si="0"/>
        <v>1132568.6826235878</v>
      </c>
      <c r="M36" s="322">
        <v>50000</v>
      </c>
    </row>
    <row r="37" spans="2:16">
      <c r="B37" s="19">
        <v>42369</v>
      </c>
      <c r="D37" s="55" t="s">
        <v>686</v>
      </c>
      <c r="F37" s="342">
        <v>44074.290998197517</v>
      </c>
      <c r="H37" s="21">
        <f t="shared" si="0"/>
        <v>1176642.9736217854</v>
      </c>
      <c r="M37" s="322">
        <v>50000</v>
      </c>
    </row>
    <row r="38" spans="2:16">
      <c r="B38" s="302">
        <v>42379</v>
      </c>
      <c r="D38" s="55" t="s">
        <v>688</v>
      </c>
      <c r="F38" s="21">
        <v>50000</v>
      </c>
      <c r="G38"/>
      <c r="H38" s="21">
        <f t="shared" si="0"/>
        <v>1226642.9736217854</v>
      </c>
      <c r="M38" s="156">
        <v>50000</v>
      </c>
    </row>
    <row r="39" spans="2:16">
      <c r="B39" s="337">
        <v>42502</v>
      </c>
      <c r="D39" s="55" t="s">
        <v>701</v>
      </c>
      <c r="F39" s="21">
        <v>50000</v>
      </c>
      <c r="G39"/>
      <c r="H39" s="21">
        <f t="shared" si="0"/>
        <v>1276642.9736217854</v>
      </c>
      <c r="L39"/>
      <c r="M39" s="291">
        <v>50000</v>
      </c>
      <c r="N39"/>
      <c r="O39"/>
      <c r="P39"/>
    </row>
    <row r="40" spans="2:16">
      <c r="B40" s="337">
        <v>42579</v>
      </c>
      <c r="D40" s="55" t="s">
        <v>710</v>
      </c>
      <c r="F40" s="21">
        <v>50000</v>
      </c>
      <c r="G40"/>
      <c r="H40" s="21">
        <f t="shared" si="0"/>
        <v>1326642.9736217854</v>
      </c>
      <c r="L40"/>
      <c r="M40" s="291">
        <v>50000</v>
      </c>
      <c r="N40"/>
      <c r="O40"/>
      <c r="P40"/>
    </row>
    <row r="41" spans="2:16">
      <c r="B41" s="351">
        <v>42671</v>
      </c>
      <c r="C41" s="352" t="s">
        <v>722</v>
      </c>
      <c r="D41" s="325"/>
      <c r="E41" s="325"/>
      <c r="F41" s="326">
        <v>50000</v>
      </c>
      <c r="G41"/>
      <c r="H41" s="21">
        <f t="shared" si="0"/>
        <v>1376642.9736217854</v>
      </c>
      <c r="M41" s="156">
        <v>50000</v>
      </c>
    </row>
    <row r="42" spans="2:16">
      <c r="B42" s="351">
        <v>42735</v>
      </c>
      <c r="C42" s="352"/>
      <c r="D42" s="325" t="s">
        <v>726</v>
      </c>
      <c r="E42" s="325"/>
      <c r="F42" s="342">
        <v>67331.122361320333</v>
      </c>
      <c r="G42"/>
      <c r="H42" s="21">
        <f t="shared" si="0"/>
        <v>1443974.0959831057</v>
      </c>
      <c r="M42" s="156">
        <v>50000</v>
      </c>
    </row>
    <row r="43" spans="2:16">
      <c r="B43" s="351">
        <v>42745</v>
      </c>
      <c r="C43" s="324" t="s">
        <v>730</v>
      </c>
      <c r="D43" s="325"/>
      <c r="F43" s="326">
        <v>50000</v>
      </c>
      <c r="G43"/>
      <c r="H43" s="21">
        <f t="shared" si="0"/>
        <v>1493974.0959831057</v>
      </c>
      <c r="M43" s="156">
        <v>50000</v>
      </c>
    </row>
    <row r="44" spans="2:16">
      <c r="B44" s="337">
        <v>42797</v>
      </c>
      <c r="D44" s="325" t="s">
        <v>744</v>
      </c>
      <c r="F44" s="21">
        <v>50000</v>
      </c>
      <c r="G44"/>
      <c r="H44" s="21">
        <f t="shared" si="0"/>
        <v>1543974.0959831057</v>
      </c>
      <c r="L44"/>
      <c r="M44" s="291">
        <v>100000</v>
      </c>
      <c r="N44"/>
      <c r="O44"/>
      <c r="P44"/>
    </row>
    <row r="45" spans="2:16">
      <c r="B45" s="337">
        <v>42835</v>
      </c>
      <c r="D45" s="325" t="s">
        <v>286</v>
      </c>
      <c r="F45" s="21">
        <v>50000</v>
      </c>
      <c r="G45"/>
      <c r="H45" s="21">
        <f t="shared" si="0"/>
        <v>1593974.0959831057</v>
      </c>
      <c r="L45"/>
      <c r="M45" s="291">
        <v>50000</v>
      </c>
      <c r="N45"/>
      <c r="O45"/>
      <c r="P45"/>
    </row>
    <row r="46" spans="2:16">
      <c r="B46" s="337">
        <v>42860</v>
      </c>
      <c r="D46" s="325" t="s">
        <v>286</v>
      </c>
      <c r="F46" s="21">
        <v>50000</v>
      </c>
      <c r="G46"/>
      <c r="H46" s="21">
        <f t="shared" si="0"/>
        <v>1643974.0959831057</v>
      </c>
      <c r="L46"/>
      <c r="M46" s="291">
        <v>50000</v>
      </c>
      <c r="N46"/>
      <c r="O46"/>
      <c r="P46"/>
    </row>
    <row r="47" spans="2:16">
      <c r="B47" s="19">
        <v>42904</v>
      </c>
      <c r="D47" s="343" t="s">
        <v>286</v>
      </c>
      <c r="F47" s="21">
        <v>50000</v>
      </c>
      <c r="H47" s="21">
        <f t="shared" si="0"/>
        <v>1693974.0959831057</v>
      </c>
      <c r="M47" s="156">
        <v>50000</v>
      </c>
    </row>
    <row r="48" spans="2:16">
      <c r="B48" s="337">
        <v>42917</v>
      </c>
      <c r="D48" t="s">
        <v>762</v>
      </c>
      <c r="G48" s="21">
        <v>100000</v>
      </c>
      <c r="H48" s="21">
        <f t="shared" si="0"/>
        <v>1593974.0959831057</v>
      </c>
      <c r="M48" s="156">
        <v>50000</v>
      </c>
    </row>
    <row r="49" spans="2:13">
      <c r="B49" s="337">
        <v>42917</v>
      </c>
      <c r="D49" t="s">
        <v>763</v>
      </c>
      <c r="G49" s="21">
        <v>100000</v>
      </c>
      <c r="H49" s="21">
        <f t="shared" si="0"/>
        <v>1493974.0959831057</v>
      </c>
      <c r="M49" s="156">
        <v>50000</v>
      </c>
    </row>
    <row r="50" spans="2:13">
      <c r="B50" s="337">
        <v>42928</v>
      </c>
      <c r="D50" t="s">
        <v>286</v>
      </c>
      <c r="F50" s="21">
        <v>50000</v>
      </c>
      <c r="H50" s="21">
        <f t="shared" si="0"/>
        <v>1543974.0959831057</v>
      </c>
      <c r="M50" s="156">
        <v>50000</v>
      </c>
    </row>
    <row r="51" spans="2:13">
      <c r="B51" s="19">
        <v>42955</v>
      </c>
      <c r="D51" t="s">
        <v>819</v>
      </c>
      <c r="F51" s="21">
        <v>50000</v>
      </c>
      <c r="H51" s="21">
        <f t="shared" si="0"/>
        <v>1593974.0959831057</v>
      </c>
      <c r="M51" s="156">
        <v>50000</v>
      </c>
    </row>
    <row r="52" spans="2:13">
      <c r="B52" s="337">
        <v>43018</v>
      </c>
      <c r="D52" t="s">
        <v>670</v>
      </c>
      <c r="F52" s="21">
        <v>50000</v>
      </c>
      <c r="H52" s="21">
        <f t="shared" si="0"/>
        <v>1643974.0959831057</v>
      </c>
      <c r="M52" s="156">
        <v>100000</v>
      </c>
    </row>
    <row r="53" spans="2:13">
      <c r="B53" s="337">
        <v>43042</v>
      </c>
      <c r="D53" t="s">
        <v>820</v>
      </c>
      <c r="F53" s="21">
        <v>50000</v>
      </c>
      <c r="H53" s="21">
        <f t="shared" si="0"/>
        <v>1693974.0959831057</v>
      </c>
      <c r="M53" s="21">
        <v>50000</v>
      </c>
    </row>
    <row r="54" spans="2:13">
      <c r="B54" s="337">
        <v>43076</v>
      </c>
      <c r="D54" t="s">
        <v>835</v>
      </c>
      <c r="F54" s="21">
        <v>50000</v>
      </c>
      <c r="H54" s="21">
        <f t="shared" si="0"/>
        <v>1743974.0959831057</v>
      </c>
      <c r="M54" s="21">
        <v>50000</v>
      </c>
    </row>
    <row r="55" spans="2:13">
      <c r="B55" s="337">
        <v>43100</v>
      </c>
      <c r="D55" t="s">
        <v>393</v>
      </c>
      <c r="F55" s="21">
        <v>0</v>
      </c>
      <c r="H55" s="21">
        <f t="shared" si="0"/>
        <v>1743974.0959831057</v>
      </c>
      <c r="M55" s="21">
        <v>50000</v>
      </c>
    </row>
    <row r="56" spans="2:13">
      <c r="B56" s="337">
        <v>43128</v>
      </c>
      <c r="D56" t="s">
        <v>855</v>
      </c>
      <c r="F56" s="21">
        <v>50000</v>
      </c>
      <c r="H56" s="21">
        <f t="shared" si="0"/>
        <v>1793974.0959831057</v>
      </c>
      <c r="M56" s="21">
        <v>50000</v>
      </c>
    </row>
    <row r="57" spans="2:13">
      <c r="B57" s="337">
        <v>43135</v>
      </c>
      <c r="D57" t="s">
        <v>850</v>
      </c>
      <c r="F57" s="21">
        <v>50000</v>
      </c>
      <c r="H57" s="21">
        <f t="shared" si="0"/>
        <v>1843974.0959831057</v>
      </c>
      <c r="M57" s="21">
        <v>50000</v>
      </c>
    </row>
    <row r="58" spans="2:13">
      <c r="B58" s="337">
        <v>43167</v>
      </c>
      <c r="D58" t="s">
        <v>867</v>
      </c>
      <c r="F58" s="21">
        <v>50000</v>
      </c>
      <c r="H58" s="21">
        <f t="shared" si="0"/>
        <v>1893974.0959831057</v>
      </c>
      <c r="M58" s="21">
        <v>50000</v>
      </c>
    </row>
    <row r="59" spans="2:13">
      <c r="B59" s="337">
        <v>43273</v>
      </c>
      <c r="D59" t="s">
        <v>885</v>
      </c>
      <c r="F59" s="21">
        <v>50000</v>
      </c>
      <c r="H59" s="21">
        <f t="shared" si="0"/>
        <v>1943974.0959831057</v>
      </c>
      <c r="M59" s="21">
        <v>50000</v>
      </c>
    </row>
    <row r="60" spans="2:13">
      <c r="B60" s="337">
        <v>43287</v>
      </c>
      <c r="D60" t="s">
        <v>886</v>
      </c>
      <c r="F60" s="21">
        <v>50000</v>
      </c>
      <c r="H60" s="21">
        <f t="shared" si="0"/>
        <v>1993974.0959831057</v>
      </c>
    </row>
    <row r="61" spans="2:13">
      <c r="B61" s="337">
        <v>43358</v>
      </c>
      <c r="D61" t="s">
        <v>877</v>
      </c>
      <c r="F61" s="21">
        <v>100000</v>
      </c>
      <c r="H61" s="21">
        <f t="shared" si="0"/>
        <v>2093974.0959831057</v>
      </c>
    </row>
    <row r="62" spans="2:13">
      <c r="B62" s="337">
        <v>43385</v>
      </c>
      <c r="D62" s="55" t="s">
        <v>917</v>
      </c>
      <c r="F62" s="21">
        <v>50000</v>
      </c>
      <c r="H62" s="21">
        <f t="shared" si="0"/>
        <v>2143974.0959831057</v>
      </c>
    </row>
    <row r="63" spans="2:13">
      <c r="B63" s="337">
        <v>43465</v>
      </c>
      <c r="D63" t="s">
        <v>393</v>
      </c>
      <c r="F63" s="21">
        <v>197028.4564628434</v>
      </c>
      <c r="H63" s="21">
        <f t="shared" si="0"/>
        <v>2341002.5524459491</v>
      </c>
      <c r="M63" s="21"/>
    </row>
    <row r="64" spans="2:13">
      <c r="B64" s="337">
        <v>43484</v>
      </c>
      <c r="D64" s="55" t="s">
        <v>286</v>
      </c>
      <c r="F64" s="21">
        <v>50000</v>
      </c>
      <c r="H64" s="21">
        <f t="shared" si="0"/>
        <v>2391002.5524459491</v>
      </c>
    </row>
    <row r="65" spans="2:13">
      <c r="B65" s="337">
        <v>43675</v>
      </c>
      <c r="D65" s="55" t="s">
        <v>917</v>
      </c>
      <c r="F65" s="21">
        <v>50000</v>
      </c>
      <c r="H65" s="21">
        <f t="shared" si="0"/>
        <v>2441002.5524459491</v>
      </c>
    </row>
    <row r="66" spans="2:13">
      <c r="B66" s="337">
        <v>43705</v>
      </c>
      <c r="D66" s="55" t="s">
        <v>917</v>
      </c>
      <c r="F66" s="21">
        <v>50000</v>
      </c>
      <c r="H66" s="21">
        <f t="shared" si="0"/>
        <v>2491002.5524459491</v>
      </c>
    </row>
    <row r="67" spans="2:13">
      <c r="B67" s="337">
        <v>43745</v>
      </c>
      <c r="D67" s="55" t="s">
        <v>917</v>
      </c>
      <c r="F67" s="21">
        <v>50000</v>
      </c>
      <c r="H67" s="21">
        <f t="shared" si="0"/>
        <v>2541002.5524459491</v>
      </c>
    </row>
    <row r="68" spans="2:13">
      <c r="B68" s="337">
        <v>43756</v>
      </c>
      <c r="D68" s="55" t="s">
        <v>917</v>
      </c>
      <c r="F68" s="21">
        <v>50000</v>
      </c>
      <c r="H68" s="21">
        <f t="shared" si="0"/>
        <v>2591002.5524459491</v>
      </c>
    </row>
    <row r="69" spans="2:13">
      <c r="B69" s="337">
        <v>43782</v>
      </c>
      <c r="D69" s="55" t="s">
        <v>917</v>
      </c>
      <c r="F69" s="21">
        <v>50000</v>
      </c>
      <c r="H69" s="21">
        <f t="shared" si="0"/>
        <v>2641002.5524459491</v>
      </c>
    </row>
    <row r="70" spans="2:13">
      <c r="B70" s="337">
        <v>43830</v>
      </c>
      <c r="D70" t="s">
        <v>393</v>
      </c>
      <c r="F70" s="21">
        <v>132896.83254431002</v>
      </c>
      <c r="H70" s="21">
        <f t="shared" si="0"/>
        <v>2773899.3849902591</v>
      </c>
      <c r="M70" s="21"/>
    </row>
    <row r="71" spans="2:13">
      <c r="B71" s="337">
        <v>43899</v>
      </c>
      <c r="D71" s="55" t="s">
        <v>917</v>
      </c>
      <c r="F71" s="21">
        <v>100000</v>
      </c>
      <c r="H71" s="21">
        <f t="shared" si="0"/>
        <v>2873899.3849902591</v>
      </c>
    </row>
    <row r="72" spans="2:13">
      <c r="B72" s="337">
        <v>43942</v>
      </c>
      <c r="D72" s="55" t="s">
        <v>917</v>
      </c>
      <c r="F72" s="21">
        <v>50000</v>
      </c>
      <c r="H72" s="21">
        <f t="shared" si="0"/>
        <v>2923899.3849902591</v>
      </c>
    </row>
    <row r="73" spans="2:13">
      <c r="B73" s="337">
        <v>43969</v>
      </c>
      <c r="D73" s="55" t="s">
        <v>917</v>
      </c>
      <c r="F73" s="21">
        <v>50000</v>
      </c>
      <c r="H73" s="21">
        <f t="shared" si="0"/>
        <v>2973899.3849902591</v>
      </c>
    </row>
    <row r="74" spans="2:13">
      <c r="B74" s="337">
        <v>44008</v>
      </c>
      <c r="D74" s="55" t="s">
        <v>917</v>
      </c>
      <c r="F74" s="21">
        <v>50000</v>
      </c>
      <c r="H74" s="21">
        <f t="shared" si="0"/>
        <v>3023899.3849902591</v>
      </c>
    </row>
    <row r="75" spans="2:13">
      <c r="B75" s="337">
        <v>44040</v>
      </c>
      <c r="D75" s="55" t="s">
        <v>917</v>
      </c>
      <c r="F75" s="21">
        <v>50000</v>
      </c>
      <c r="H75" s="21">
        <f t="shared" si="0"/>
        <v>3073899.3849902591</v>
      </c>
    </row>
    <row r="76" spans="2:13">
      <c r="B76" s="337">
        <v>44070</v>
      </c>
      <c r="D76" s="55" t="s">
        <v>917</v>
      </c>
      <c r="F76" s="21">
        <v>50000</v>
      </c>
      <c r="H76" s="21">
        <f t="shared" si="0"/>
        <v>3123899.3849902591</v>
      </c>
    </row>
    <row r="77" spans="2:13">
      <c r="B77" s="336">
        <v>44102</v>
      </c>
      <c r="D77" s="55" t="s">
        <v>917</v>
      </c>
      <c r="F77" s="21">
        <v>50000</v>
      </c>
      <c r="H77" s="21">
        <f t="shared" si="0"/>
        <v>3173899.3849902591</v>
      </c>
    </row>
    <row r="78" spans="2:13">
      <c r="B78" s="19">
        <v>44105</v>
      </c>
      <c r="D78" s="55" t="s">
        <v>917</v>
      </c>
      <c r="F78" s="21">
        <v>50000</v>
      </c>
    </row>
    <row r="81" spans="2:16">
      <c r="B81"/>
      <c r="D81" s="76" t="s">
        <v>307</v>
      </c>
      <c r="E81" s="48"/>
      <c r="F81" s="53">
        <f>SUM(F15:F80)</f>
        <v>3423899.3849902591</v>
      </c>
      <c r="G81" s="53">
        <f>SUM(G15:G80)</f>
        <v>200000</v>
      </c>
      <c r="H81" s="77">
        <f>F81-G81</f>
        <v>3223899.3849902591</v>
      </c>
      <c r="L81" s="92">
        <f>SUM(L3:L11)</f>
        <v>500000</v>
      </c>
      <c r="M81" s="156">
        <f>SUM(M3:M80)</f>
        <v>2245000</v>
      </c>
      <c r="N81" s="92">
        <f>SUM(N3:N11)</f>
        <v>5000</v>
      </c>
      <c r="O81" s="92">
        <f>SUM(O3:O11)</f>
        <v>473899.38499025902</v>
      </c>
      <c r="P81" s="92">
        <f>SUM(P3:P11)</f>
        <v>0</v>
      </c>
    </row>
    <row r="82" spans="2:16">
      <c r="P82" s="92">
        <f>SUM(L81:P81)</f>
        <v>3223899.3849902591</v>
      </c>
    </row>
  </sheetData>
  <mergeCells count="2">
    <mergeCell ref="L1:P1"/>
    <mergeCell ref="C6:E6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P51"/>
  <sheetViews>
    <sheetView topLeftCell="A13" workbookViewId="0">
      <selection activeCell="O5" sqref="O5"/>
    </sheetView>
  </sheetViews>
  <sheetFormatPr defaultRowHeight="12.75"/>
  <cols>
    <col min="1" max="1" width="1.85546875" customWidth="1"/>
    <col min="2" max="2" width="11.28515625" style="19" customWidth="1"/>
    <col min="3" max="3" width="2.28515625" customWidth="1"/>
    <col min="5" max="5" width="16.710937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3" width="14.140625" style="156" customWidth="1"/>
    <col min="14" max="14" width="14.140625" style="30" customWidth="1"/>
    <col min="15" max="15" width="14.140625" style="156" customWidth="1"/>
    <col min="16" max="16" width="17.140625" style="30" customWidth="1"/>
  </cols>
  <sheetData>
    <row r="1" spans="2:16" s="57" customFormat="1">
      <c r="B1" s="54" t="s">
        <v>49</v>
      </c>
      <c r="C1" s="55" t="s">
        <v>3</v>
      </c>
      <c r="D1" s="56" t="s">
        <v>22</v>
      </c>
      <c r="F1" s="58"/>
      <c r="G1" s="59" t="s">
        <v>60</v>
      </c>
      <c r="H1" s="58"/>
      <c r="L1" s="679" t="s">
        <v>337</v>
      </c>
      <c r="M1" s="679"/>
      <c r="N1" s="679"/>
      <c r="O1" s="679"/>
      <c r="P1" s="679"/>
    </row>
    <row r="2" spans="2:16" s="57" customFormat="1">
      <c r="B2" s="60" t="s">
        <v>50</v>
      </c>
      <c r="C2" s="57" t="s">
        <v>3</v>
      </c>
      <c r="D2" s="61" t="s">
        <v>65</v>
      </c>
      <c r="F2" s="58"/>
      <c r="G2" s="59" t="s">
        <v>53</v>
      </c>
      <c r="H2" s="58"/>
      <c r="L2" s="155" t="s">
        <v>338</v>
      </c>
      <c r="M2" s="155" t="s">
        <v>339</v>
      </c>
      <c r="N2" s="91" t="s">
        <v>340</v>
      </c>
      <c r="O2" s="155" t="s">
        <v>393</v>
      </c>
      <c r="P2" s="91" t="s">
        <v>341</v>
      </c>
    </row>
    <row r="3" spans="2:16" s="57" customFormat="1">
      <c r="B3" s="60" t="s">
        <v>11</v>
      </c>
      <c r="C3" s="57" t="s">
        <v>3</v>
      </c>
      <c r="D3" s="57" t="s">
        <v>104</v>
      </c>
      <c r="F3" s="58"/>
      <c r="G3" s="59" t="s">
        <v>61</v>
      </c>
      <c r="H3" s="58" t="s">
        <v>23</v>
      </c>
      <c r="L3" s="156">
        <f>F15</f>
        <v>200000</v>
      </c>
      <c r="M3" s="156">
        <f>F16</f>
        <v>20000</v>
      </c>
      <c r="N3" s="92">
        <f>F21</f>
        <v>10000</v>
      </c>
      <c r="O3" s="156">
        <f>F23</f>
        <v>52392.976016703353</v>
      </c>
    </row>
    <row r="4" spans="2:16" s="57" customFormat="1">
      <c r="B4" s="60"/>
      <c r="D4" s="57" t="s">
        <v>52</v>
      </c>
      <c r="F4" s="58"/>
      <c r="G4" s="59" t="s">
        <v>105</v>
      </c>
      <c r="H4" s="58"/>
      <c r="L4" s="446">
        <v>300000</v>
      </c>
      <c r="M4" s="156">
        <f>F17</f>
        <v>100000</v>
      </c>
      <c r="O4" s="156">
        <v>81661.004584279493</v>
      </c>
      <c r="P4" s="30"/>
    </row>
    <row r="5" spans="2:16" s="57" customFormat="1">
      <c r="B5" s="60"/>
      <c r="F5" s="58"/>
      <c r="G5" s="59"/>
      <c r="H5" s="58"/>
      <c r="L5" s="156"/>
      <c r="M5" s="156">
        <f>F18</f>
        <v>60000</v>
      </c>
      <c r="N5" s="30"/>
      <c r="O5" s="446">
        <v>-81000</v>
      </c>
      <c r="P5" s="30"/>
    </row>
    <row r="6" spans="2:16" s="57" customFormat="1">
      <c r="B6" s="60"/>
      <c r="F6" s="58"/>
      <c r="G6" s="59" t="s">
        <v>54</v>
      </c>
      <c r="H6" s="58"/>
      <c r="L6" s="156"/>
      <c r="M6" s="156">
        <f>F19</f>
        <v>60000</v>
      </c>
      <c r="N6" s="30"/>
      <c r="O6" s="156">
        <v>-100000</v>
      </c>
      <c r="P6" s="30"/>
    </row>
    <row r="7" spans="2:16" s="57" customFormat="1">
      <c r="B7" s="60"/>
      <c r="F7" s="58"/>
      <c r="G7" s="62" t="s">
        <v>55</v>
      </c>
      <c r="H7" s="58"/>
      <c r="L7" s="156"/>
      <c r="M7" s="156">
        <f>F20</f>
        <v>40000</v>
      </c>
      <c r="N7" s="30"/>
      <c r="O7" s="156"/>
      <c r="P7" s="30"/>
    </row>
    <row r="8" spans="2:16" s="57" customFormat="1">
      <c r="B8" s="60"/>
      <c r="F8" s="58"/>
      <c r="G8" s="59"/>
      <c r="H8" s="58"/>
      <c r="L8" s="156"/>
      <c r="M8" s="156">
        <f>F22</f>
        <v>170000</v>
      </c>
      <c r="N8" s="30"/>
      <c r="O8" s="156"/>
      <c r="P8" s="30"/>
    </row>
    <row r="9" spans="2:16" s="57" customFormat="1">
      <c r="B9" s="60"/>
      <c r="F9" s="58"/>
      <c r="G9" s="58"/>
      <c r="H9" s="58"/>
      <c r="L9" s="156"/>
      <c r="M9" s="156">
        <f>F24</f>
        <v>125000</v>
      </c>
      <c r="N9" s="30"/>
      <c r="O9" s="156"/>
      <c r="P9" s="30"/>
    </row>
    <row r="10" spans="2:16" s="57" customFormat="1">
      <c r="B10" s="60"/>
      <c r="F10" s="58"/>
      <c r="G10" s="58"/>
      <c r="H10" s="58"/>
      <c r="L10" s="156"/>
      <c r="M10" s="156">
        <v>50000</v>
      </c>
      <c r="N10" s="30"/>
      <c r="O10" s="156"/>
      <c r="P10" s="30"/>
    </row>
    <row r="11" spans="2:16" s="57" customFormat="1">
      <c r="B11" s="60"/>
      <c r="F11" s="58"/>
      <c r="G11" s="59" t="s">
        <v>56</v>
      </c>
      <c r="H11" s="58"/>
      <c r="L11" s="156"/>
      <c r="M11" s="156">
        <v>-300000</v>
      </c>
      <c r="N11" s="30"/>
      <c r="O11" s="156"/>
      <c r="P11" s="30"/>
    </row>
    <row r="12" spans="2:16" s="57" customFormat="1">
      <c r="B12" s="60"/>
      <c r="F12" s="58"/>
      <c r="G12" s="58"/>
      <c r="H12" s="58"/>
      <c r="L12" s="446"/>
      <c r="M12" s="156">
        <v>-100000</v>
      </c>
      <c r="O12" s="446"/>
    </row>
    <row r="13" spans="2:16" s="57" customFormat="1">
      <c r="B13" s="60"/>
      <c r="F13" s="58"/>
      <c r="G13" s="58"/>
      <c r="H13" s="58"/>
      <c r="L13" s="446"/>
      <c r="M13" s="167">
        <v>50000</v>
      </c>
      <c r="O13" s="446"/>
    </row>
    <row r="14" spans="2:16" s="57" customFormat="1">
      <c r="B14" s="60" t="s">
        <v>57</v>
      </c>
      <c r="D14" s="57" t="s">
        <v>58</v>
      </c>
      <c r="F14" s="63" t="s">
        <v>87</v>
      </c>
      <c r="G14" s="63" t="s">
        <v>88</v>
      </c>
      <c r="H14" s="63" t="s">
        <v>89</v>
      </c>
      <c r="L14" s="156"/>
      <c r="M14" s="156">
        <v>50000</v>
      </c>
      <c r="N14" s="30"/>
      <c r="O14" s="156"/>
      <c r="P14" s="30"/>
    </row>
    <row r="15" spans="2:16" s="57" customFormat="1" ht="15" customHeight="1">
      <c r="B15" s="60">
        <v>40619</v>
      </c>
      <c r="D15" s="57" t="s">
        <v>59</v>
      </c>
      <c r="F15" s="58">
        <v>200000</v>
      </c>
      <c r="G15" s="64"/>
      <c r="H15" s="58">
        <f>F15-G15</f>
        <v>200000</v>
      </c>
      <c r="L15" s="156"/>
      <c r="M15" s="156">
        <v>540000</v>
      </c>
      <c r="N15" s="30"/>
      <c r="O15" s="156"/>
      <c r="P15" s="30"/>
    </row>
    <row r="16" spans="2:16" s="57" customFormat="1" ht="15" customHeight="1">
      <c r="B16" s="60">
        <v>40619</v>
      </c>
      <c r="D16" s="57" t="s">
        <v>102</v>
      </c>
      <c r="F16" s="58">
        <v>20000</v>
      </c>
      <c r="G16" s="58"/>
      <c r="H16" s="58">
        <f t="shared" ref="H16:H33" si="0">H15+F16-G16</f>
        <v>220000</v>
      </c>
      <c r="L16" s="156"/>
      <c r="M16" s="156"/>
      <c r="N16" s="30"/>
      <c r="O16" s="156"/>
      <c r="P16" s="30"/>
    </row>
    <row r="17" spans="2:16" s="57" customFormat="1" ht="16.5" customHeight="1">
      <c r="B17" s="60">
        <v>40682</v>
      </c>
      <c r="D17" s="680" t="s">
        <v>106</v>
      </c>
      <c r="E17" s="680"/>
      <c r="F17" s="58">
        <v>100000</v>
      </c>
      <c r="G17" s="58"/>
      <c r="H17" s="58">
        <f t="shared" si="0"/>
        <v>320000</v>
      </c>
      <c r="L17" s="156"/>
      <c r="M17" s="156"/>
      <c r="N17" s="30"/>
      <c r="O17" s="156"/>
      <c r="P17" s="30"/>
    </row>
    <row r="18" spans="2:16" s="65" customFormat="1" ht="16.5" customHeight="1">
      <c r="B18" s="54">
        <v>40823</v>
      </c>
      <c r="C18" s="55"/>
      <c r="D18" s="55" t="s">
        <v>300</v>
      </c>
      <c r="E18" s="55"/>
      <c r="F18" s="66">
        <v>60000</v>
      </c>
      <c r="G18" s="66"/>
      <c r="H18" s="66">
        <f t="shared" si="0"/>
        <v>380000</v>
      </c>
      <c r="L18" s="156"/>
      <c r="M18" s="156"/>
      <c r="N18" s="30"/>
      <c r="O18" s="156"/>
      <c r="P18" s="30"/>
    </row>
    <row r="19" spans="2:16" ht="15" customHeight="1">
      <c r="B19" s="54">
        <v>40886</v>
      </c>
      <c r="C19" s="55"/>
      <c r="D19" s="55" t="s">
        <v>304</v>
      </c>
      <c r="E19" s="55"/>
      <c r="F19" s="66">
        <v>60000</v>
      </c>
      <c r="G19" s="66"/>
      <c r="H19" s="66">
        <f t="shared" si="0"/>
        <v>440000</v>
      </c>
    </row>
    <row r="20" spans="2:16" ht="15" customHeight="1">
      <c r="B20" s="54">
        <v>40985</v>
      </c>
      <c r="C20" s="55"/>
      <c r="D20" s="55" t="s">
        <v>305</v>
      </c>
      <c r="E20" s="55"/>
      <c r="F20" s="66">
        <v>40000</v>
      </c>
      <c r="G20" s="66"/>
      <c r="H20" s="66">
        <f t="shared" si="0"/>
        <v>480000</v>
      </c>
    </row>
    <row r="21" spans="2:16" ht="15" customHeight="1">
      <c r="B21" s="54">
        <v>40985</v>
      </c>
      <c r="D21" s="55" t="s">
        <v>306</v>
      </c>
      <c r="F21" s="21">
        <v>10000</v>
      </c>
      <c r="H21" s="66">
        <f t="shared" si="0"/>
        <v>490000</v>
      </c>
    </row>
    <row r="22" spans="2:16" ht="15" customHeight="1">
      <c r="B22" s="54">
        <v>41260</v>
      </c>
      <c r="D22" s="55" t="s">
        <v>374</v>
      </c>
      <c r="F22" s="21">
        <v>170000</v>
      </c>
      <c r="H22" s="66">
        <f t="shared" si="0"/>
        <v>660000</v>
      </c>
    </row>
    <row r="23" spans="2:16" ht="15" customHeight="1">
      <c r="B23" s="19">
        <v>41274</v>
      </c>
      <c r="D23" t="s">
        <v>392</v>
      </c>
      <c r="F23" s="21">
        <v>52392.976016703353</v>
      </c>
      <c r="H23" s="66">
        <f t="shared" si="0"/>
        <v>712392.97601670329</v>
      </c>
    </row>
    <row r="24" spans="2:16" ht="15" customHeight="1">
      <c r="B24" s="19">
        <v>41342</v>
      </c>
      <c r="D24" t="s">
        <v>415</v>
      </c>
      <c r="F24" s="21">
        <v>125000</v>
      </c>
      <c r="H24" s="66">
        <f t="shared" si="0"/>
        <v>837392.97601670329</v>
      </c>
    </row>
    <row r="25" spans="2:16" ht="15" customHeight="1">
      <c r="B25" s="19">
        <v>41640</v>
      </c>
      <c r="D25" t="s">
        <v>499</v>
      </c>
      <c r="F25" s="21">
        <v>81661.004584279537</v>
      </c>
      <c r="H25" s="66">
        <f t="shared" si="0"/>
        <v>919053.98060098279</v>
      </c>
    </row>
    <row r="26" spans="2:16" ht="15" customHeight="1">
      <c r="B26" s="19">
        <v>41640</v>
      </c>
      <c r="D26" t="s">
        <v>503</v>
      </c>
      <c r="G26" s="21">
        <v>81000</v>
      </c>
      <c r="H26" s="66">
        <f t="shared" si="0"/>
        <v>838053.98060098279</v>
      </c>
    </row>
    <row r="27" spans="2:16" ht="15" customHeight="1">
      <c r="H27" s="66">
        <f t="shared" si="0"/>
        <v>838053.98060098279</v>
      </c>
    </row>
    <row r="28" spans="2:16" ht="15" customHeight="1">
      <c r="B28" s="19">
        <v>42423</v>
      </c>
      <c r="D28" t="s">
        <v>693</v>
      </c>
      <c r="F28" s="21">
        <v>50000</v>
      </c>
      <c r="H28" s="66">
        <f t="shared" si="0"/>
        <v>888053.98060098279</v>
      </c>
    </row>
    <row r="29" spans="2:16" ht="15" customHeight="1">
      <c r="B29" s="336">
        <v>42917</v>
      </c>
      <c r="D29" s="168" t="s">
        <v>804</v>
      </c>
      <c r="G29" s="21">
        <v>200000</v>
      </c>
      <c r="H29" s="66">
        <f t="shared" si="0"/>
        <v>688053.98060098279</v>
      </c>
    </row>
    <row r="30" spans="2:16" ht="15" customHeight="1">
      <c r="B30" s="336">
        <v>42917</v>
      </c>
      <c r="D30" t="s">
        <v>803</v>
      </c>
      <c r="F30" s="21">
        <v>300000</v>
      </c>
      <c r="G30" s="21">
        <v>300000</v>
      </c>
      <c r="H30" s="66">
        <f t="shared" si="0"/>
        <v>688053.98060098279</v>
      </c>
    </row>
    <row r="31" spans="2:16" ht="15" customHeight="1">
      <c r="B31" s="19">
        <v>43043</v>
      </c>
      <c r="D31" t="s">
        <v>822</v>
      </c>
      <c r="F31" s="21">
        <v>50000</v>
      </c>
      <c r="H31" s="66">
        <f t="shared" si="0"/>
        <v>738053.98060098279</v>
      </c>
    </row>
    <row r="32" spans="2:16" ht="15" customHeight="1">
      <c r="B32" s="19">
        <v>43114</v>
      </c>
      <c r="D32" t="s">
        <v>849</v>
      </c>
      <c r="F32" s="21">
        <v>50000</v>
      </c>
      <c r="H32" s="66">
        <f t="shared" si="0"/>
        <v>788053.98060098279</v>
      </c>
    </row>
    <row r="33" spans="2:8" ht="15" customHeight="1">
      <c r="B33" s="19">
        <v>43900</v>
      </c>
      <c r="D33" t="s">
        <v>1130</v>
      </c>
      <c r="E33" t="s">
        <v>1126</v>
      </c>
      <c r="F33" s="21">
        <v>540000</v>
      </c>
      <c r="H33" s="66">
        <f t="shared" si="0"/>
        <v>1328053.9806009829</v>
      </c>
    </row>
    <row r="34" spans="2:8" ht="15" customHeight="1"/>
    <row r="35" spans="2:8" ht="15" customHeight="1"/>
    <row r="36" spans="2:8" ht="15" customHeight="1"/>
    <row r="37" spans="2:8" ht="15" customHeight="1"/>
    <row r="38" spans="2:8" ht="15" customHeight="1"/>
    <row r="39" spans="2:8" ht="15" customHeight="1"/>
    <row r="40" spans="2:8" ht="15" customHeight="1"/>
    <row r="41" spans="2:8" ht="15" customHeight="1"/>
    <row r="42" spans="2:8" ht="15" customHeight="1"/>
    <row r="43" spans="2:8" ht="15" customHeight="1"/>
    <row r="44" spans="2:8" ht="15" customHeight="1"/>
    <row r="45" spans="2:8" ht="15" customHeight="1"/>
    <row r="46" spans="2:8" ht="15" customHeight="1"/>
    <row r="50" spans="4:16" ht="15" customHeight="1">
      <c r="D50" s="76" t="s">
        <v>307</v>
      </c>
      <c r="E50" s="48"/>
      <c r="F50" s="53">
        <f>SUM(F15:F49)</f>
        <v>1909053.9806009829</v>
      </c>
      <c r="G50" s="53">
        <f>SUM(G15:G49)</f>
        <v>581000</v>
      </c>
      <c r="H50" s="77">
        <f>F50-G50</f>
        <v>1328053.9806009829</v>
      </c>
      <c r="L50" s="156">
        <f>SUM(L3:L11)</f>
        <v>500000</v>
      </c>
      <c r="M50" s="156">
        <f>SUM(M3:M48)</f>
        <v>865000</v>
      </c>
      <c r="N50" s="92">
        <f>SUM(N3:N11)</f>
        <v>10000</v>
      </c>
      <c r="O50" s="156">
        <f>SUM(O3:O11)</f>
        <v>-46946.019399017154</v>
      </c>
      <c r="P50" s="92">
        <f>SUM(P3:P11)</f>
        <v>0</v>
      </c>
    </row>
    <row r="51" spans="4:16">
      <c r="P51" s="92">
        <f>SUM(L50:P50)</f>
        <v>1328053.9806009829</v>
      </c>
    </row>
  </sheetData>
  <mergeCells count="2">
    <mergeCell ref="D17:E17"/>
    <mergeCell ref="L1:P1"/>
  </mergeCells>
  <phoneticPr fontId="0" type="noConversion"/>
  <pageMargins left="0.2" right="0.5" top="0.3" bottom="1" header="0.24" footer="0.5"/>
  <pageSetup paperSize="9" scale="90" orientation="landscape" horizontalDpi="4294967293" r:id="rId1"/>
  <headerFooter alignWithMargins="0"/>
  <legacyDrawing r:id="rId2"/>
  <oleObjects>
    <oleObject progId="CorelDRAW.Graphic.11" shapeId="10241" r:id="rId3"/>
    <oleObject progId="CorelDRAW.Graphic.11" shapeId="10242" r:id="rId4"/>
    <oleObject progId="CorelDRAW.Graphic.11" shapeId="10243" r:id="rId5"/>
  </oleObjects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FF00"/>
  </sheetPr>
  <dimension ref="B1:P51"/>
  <sheetViews>
    <sheetView zoomScale="80" zoomScaleNormal="80" workbookViewId="0">
      <selection activeCell="M24" sqref="M24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17.140625" customWidth="1"/>
    <col min="6" max="6" width="12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535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161</v>
      </c>
      <c r="G2" s="18" t="s">
        <v>53</v>
      </c>
      <c r="H2" s="159">
        <v>760713380527</v>
      </c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536</v>
      </c>
      <c r="G3" s="18" t="s">
        <v>61</v>
      </c>
      <c r="H3"/>
      <c r="L3" s="92">
        <v>200000</v>
      </c>
      <c r="M3" s="156">
        <v>50000</v>
      </c>
      <c r="N3" s="92"/>
      <c r="O3" s="92">
        <v>0</v>
      </c>
      <c r="P3" s="92"/>
    </row>
    <row r="4" spans="2:16">
      <c r="D4" s="93" t="s">
        <v>411</v>
      </c>
      <c r="G4" s="89" t="s">
        <v>379</v>
      </c>
      <c r="H4" s="141">
        <v>41783</v>
      </c>
      <c r="L4" s="92">
        <v>300000</v>
      </c>
      <c r="M4" s="156">
        <v>50000</v>
      </c>
      <c r="N4" s="92"/>
      <c r="O4" s="92">
        <v>4306.6026609702812</v>
      </c>
    </row>
    <row r="5" spans="2:16">
      <c r="G5" s="18"/>
      <c r="M5" s="156">
        <v>100000</v>
      </c>
    </row>
    <row r="6" spans="2:16">
      <c r="C6" s="684" t="s">
        <v>454</v>
      </c>
      <c r="D6" s="684"/>
      <c r="E6" s="684"/>
      <c r="G6" s="89" t="s">
        <v>381</v>
      </c>
      <c r="H6" s="142">
        <f>H4</f>
        <v>41783</v>
      </c>
      <c r="M6" s="156">
        <v>25000</v>
      </c>
    </row>
    <row r="7" spans="2:16">
      <c r="G7" s="24" t="s">
        <v>55</v>
      </c>
      <c r="M7" s="156">
        <v>50000</v>
      </c>
    </row>
    <row r="8" spans="2:16">
      <c r="G8" s="18"/>
      <c r="M8" s="322">
        <v>25000</v>
      </c>
    </row>
    <row r="9" spans="2:16">
      <c r="M9" s="156">
        <v>50000</v>
      </c>
    </row>
    <row r="10" spans="2:16">
      <c r="M10" s="156">
        <v>50000</v>
      </c>
    </row>
    <row r="11" spans="2:16">
      <c r="G11" s="18" t="s">
        <v>56</v>
      </c>
      <c r="M11" s="556">
        <v>-200000</v>
      </c>
    </row>
    <row r="12" spans="2:16">
      <c r="M12" s="556">
        <v>-200000</v>
      </c>
    </row>
    <row r="13" spans="2:16">
      <c r="M13" s="21">
        <v>540000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41783</v>
      </c>
      <c r="D15" s="93" t="s">
        <v>465</v>
      </c>
      <c r="F15" s="21">
        <v>50000</v>
      </c>
      <c r="H15" s="21">
        <f>F15-G15</f>
        <v>50000</v>
      </c>
    </row>
    <row r="16" spans="2:16" ht="15" customHeight="1">
      <c r="B16" s="19">
        <v>41827</v>
      </c>
      <c r="D16" s="55" t="s">
        <v>539</v>
      </c>
      <c r="F16" s="21">
        <v>50000</v>
      </c>
      <c r="H16" s="21">
        <f>H15+F16-G16</f>
        <v>100000</v>
      </c>
    </row>
    <row r="17" spans="2:8" ht="15" customHeight="1">
      <c r="B17" s="19">
        <v>41970</v>
      </c>
      <c r="D17" s="55" t="s">
        <v>558</v>
      </c>
      <c r="F17" s="21">
        <v>100000</v>
      </c>
      <c r="H17" s="21">
        <f t="shared" ref="H17:H27" si="0">H16+F17-G17</f>
        <v>200000</v>
      </c>
    </row>
    <row r="18" spans="2:8" ht="15" customHeight="1">
      <c r="B18" s="19">
        <v>42043</v>
      </c>
      <c r="D18" s="55" t="s">
        <v>607</v>
      </c>
      <c r="F18" s="21">
        <v>25000</v>
      </c>
      <c r="H18" s="21">
        <f t="shared" si="0"/>
        <v>225000</v>
      </c>
    </row>
    <row r="19" spans="2:8" ht="15" customHeight="1">
      <c r="D19" s="55" t="s">
        <v>591</v>
      </c>
      <c r="F19" s="21">
        <v>4306.6026609702812</v>
      </c>
      <c r="H19" s="21">
        <f t="shared" si="0"/>
        <v>229306.60266097027</v>
      </c>
    </row>
    <row r="20" spans="2:8" ht="15" customHeight="1">
      <c r="B20" s="302">
        <v>42093</v>
      </c>
      <c r="D20" s="55" t="s">
        <v>286</v>
      </c>
      <c r="F20" s="21">
        <v>50000</v>
      </c>
      <c r="H20" s="21">
        <f t="shared" si="0"/>
        <v>279306.6026609703</v>
      </c>
    </row>
    <row r="21" spans="2:8" ht="15" customHeight="1">
      <c r="B21" s="19">
        <v>42136</v>
      </c>
      <c r="D21" s="55" t="s">
        <v>286</v>
      </c>
      <c r="F21" s="21">
        <v>25000</v>
      </c>
      <c r="H21" s="21">
        <f t="shared" si="0"/>
        <v>304306.6026609703</v>
      </c>
    </row>
    <row r="22" spans="2:8" ht="15" customHeight="1">
      <c r="B22" s="19">
        <v>42189</v>
      </c>
      <c r="D22" s="55" t="s">
        <v>286</v>
      </c>
      <c r="F22" s="21">
        <v>50000</v>
      </c>
      <c r="H22" s="21">
        <f t="shared" si="0"/>
        <v>354306.6026609703</v>
      </c>
    </row>
    <row r="23" spans="2:8" ht="15" customHeight="1">
      <c r="B23" s="19">
        <v>42266</v>
      </c>
      <c r="D23" s="55" t="s">
        <v>286</v>
      </c>
      <c r="F23" s="21">
        <v>50000</v>
      </c>
      <c r="H23" s="21">
        <f t="shared" si="0"/>
        <v>404306.6026609703</v>
      </c>
    </row>
    <row r="24" spans="2:8" ht="15" customHeight="1">
      <c r="B24" s="337">
        <v>42917</v>
      </c>
      <c r="D24" s="55" t="s">
        <v>803</v>
      </c>
      <c r="F24" s="320">
        <v>200000</v>
      </c>
      <c r="G24" s="320">
        <v>200000</v>
      </c>
      <c r="H24" s="21">
        <f t="shared" si="0"/>
        <v>404306.6026609703</v>
      </c>
    </row>
    <row r="25" spans="2:8" ht="15" customHeight="1">
      <c r="B25" s="337">
        <v>42908</v>
      </c>
      <c r="D25" s="55" t="s">
        <v>888</v>
      </c>
      <c r="F25" s="21">
        <f>300000</f>
        <v>300000</v>
      </c>
      <c r="H25" s="21">
        <f t="shared" si="0"/>
        <v>704306.6026609703</v>
      </c>
    </row>
    <row r="26" spans="2:8" ht="15" customHeight="1">
      <c r="B26" s="337">
        <v>42908</v>
      </c>
      <c r="D26" s="55" t="s">
        <v>903</v>
      </c>
      <c r="F26" s="320"/>
      <c r="G26" s="320">
        <v>200000</v>
      </c>
      <c r="H26" s="21">
        <f t="shared" si="0"/>
        <v>504306.6026609703</v>
      </c>
    </row>
    <row r="27" spans="2:8" ht="15" customHeight="1">
      <c r="B27" s="337">
        <v>43900</v>
      </c>
      <c r="D27" t="s">
        <v>1131</v>
      </c>
      <c r="E27" t="s">
        <v>1126</v>
      </c>
      <c r="F27" s="21">
        <v>540000</v>
      </c>
      <c r="H27" s="21">
        <f t="shared" si="0"/>
        <v>1044306.6026609703</v>
      </c>
    </row>
    <row r="28" spans="2:8" ht="15" customHeight="1">
      <c r="B28"/>
    </row>
    <row r="29" spans="2:8" ht="15" customHeight="1">
      <c r="B29"/>
    </row>
    <row r="30" spans="2:8" ht="15" customHeight="1">
      <c r="B30"/>
    </row>
    <row r="31" spans="2:8" ht="15" customHeight="1">
      <c r="B31"/>
    </row>
    <row r="32" spans="2:8" ht="15" customHeight="1">
      <c r="B32"/>
    </row>
    <row r="33" spans="2:16">
      <c r="B33"/>
      <c r="F33"/>
      <c r="G33"/>
      <c r="H33"/>
      <c r="L33"/>
      <c r="M33" s="291"/>
      <c r="N33"/>
      <c r="O33"/>
      <c r="P33"/>
    </row>
    <row r="34" spans="2:16">
      <c r="B34"/>
      <c r="F34"/>
      <c r="G34"/>
      <c r="H34"/>
      <c r="L34"/>
      <c r="M34" s="291"/>
      <c r="N34"/>
      <c r="O34"/>
      <c r="P34"/>
    </row>
    <row r="35" spans="2:16">
      <c r="B35"/>
      <c r="F35"/>
      <c r="G35"/>
      <c r="H35"/>
      <c r="L35"/>
      <c r="M35" s="291"/>
      <c r="N35"/>
      <c r="O35"/>
      <c r="P35"/>
    </row>
    <row r="36" spans="2:16">
      <c r="B36"/>
      <c r="F36"/>
      <c r="G36"/>
      <c r="H36"/>
      <c r="L36"/>
      <c r="M36" s="291"/>
      <c r="N36"/>
      <c r="O36"/>
      <c r="P36"/>
    </row>
    <row r="37" spans="2:16">
      <c r="B37"/>
      <c r="F37"/>
      <c r="G37"/>
      <c r="H37"/>
      <c r="L37"/>
      <c r="M37" s="291"/>
      <c r="N37"/>
      <c r="O37"/>
      <c r="P37"/>
    </row>
    <row r="38" spans="2:16">
      <c r="B38"/>
      <c r="F38"/>
      <c r="G38"/>
      <c r="H38"/>
      <c r="L38"/>
      <c r="M38" s="291"/>
      <c r="N38"/>
      <c r="O38"/>
      <c r="P38"/>
    </row>
    <row r="39" spans="2:16">
      <c r="B39"/>
      <c r="F39"/>
      <c r="G39"/>
      <c r="H39"/>
      <c r="L39"/>
      <c r="M39" s="291"/>
      <c r="N39"/>
      <c r="O39"/>
      <c r="P39"/>
    </row>
    <row r="40" spans="2:16">
      <c r="B40"/>
      <c r="F40"/>
      <c r="G40"/>
      <c r="H40"/>
      <c r="L40"/>
      <c r="M40" s="291"/>
      <c r="N40"/>
      <c r="O40"/>
      <c r="P40"/>
    </row>
    <row r="41" spans="2:16">
      <c r="B41"/>
      <c r="F41"/>
      <c r="G41"/>
      <c r="H41"/>
      <c r="L41"/>
      <c r="M41" s="291"/>
      <c r="N41"/>
      <c r="O41"/>
      <c r="P41"/>
    </row>
    <row r="42" spans="2:16">
      <c r="B42"/>
      <c r="F42"/>
      <c r="G42"/>
      <c r="H42"/>
      <c r="L42"/>
      <c r="M42" s="291"/>
      <c r="N42"/>
      <c r="O42"/>
      <c r="P42"/>
    </row>
    <row r="43" spans="2:16">
      <c r="B43"/>
      <c r="F43"/>
      <c r="G43"/>
      <c r="H43"/>
      <c r="L43"/>
      <c r="M43" s="291"/>
      <c r="N43"/>
      <c r="O43"/>
      <c r="P43"/>
    </row>
    <row r="44" spans="2:16">
      <c r="B44"/>
      <c r="F44"/>
      <c r="G44"/>
      <c r="H44"/>
      <c r="L44"/>
      <c r="M44" s="291"/>
      <c r="N44"/>
      <c r="O44"/>
      <c r="P44"/>
    </row>
    <row r="45" spans="2:16">
      <c r="B45"/>
      <c r="F45"/>
      <c r="G45"/>
      <c r="H45"/>
      <c r="L45"/>
      <c r="M45" s="291"/>
      <c r="N45"/>
      <c r="O45"/>
      <c r="P45"/>
    </row>
    <row r="50" spans="4:16" customFormat="1">
      <c r="D50" s="76" t="s">
        <v>307</v>
      </c>
      <c r="E50" s="48"/>
      <c r="F50" s="53">
        <f>SUM(F15:F49)</f>
        <v>1444306.6026609703</v>
      </c>
      <c r="G50" s="53">
        <f>SUM(G15:G49)</f>
        <v>400000</v>
      </c>
      <c r="H50" s="77">
        <f>F50-G50</f>
        <v>1044306.6026609703</v>
      </c>
      <c r="L50" s="92">
        <f>SUM(L3:L11)</f>
        <v>500000</v>
      </c>
      <c r="M50" s="156">
        <f>SUM(M3:M49)</f>
        <v>540000</v>
      </c>
      <c r="N50" s="92">
        <f>SUM(N3:N11)</f>
        <v>0</v>
      </c>
      <c r="O50" s="92">
        <f>SUM(O3:O11)</f>
        <v>4306.6026609702812</v>
      </c>
      <c r="P50" s="92">
        <f>SUM(P3:P11)</f>
        <v>0</v>
      </c>
    </row>
    <row r="51" spans="4:16">
      <c r="P51" s="92">
        <f>SUM(L50:P50)</f>
        <v>1044306.6026609703</v>
      </c>
    </row>
  </sheetData>
  <mergeCells count="2">
    <mergeCell ref="L1:P1"/>
    <mergeCell ref="C6:E6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F0"/>
  </sheetPr>
  <dimension ref="B1:P53"/>
  <sheetViews>
    <sheetView topLeftCell="A2" zoomScale="90" zoomScaleNormal="90" workbookViewId="0">
      <selection activeCell="K61" sqref="K61"/>
    </sheetView>
  </sheetViews>
  <sheetFormatPr defaultRowHeight="12.75"/>
  <cols>
    <col min="1" max="1" width="0.7109375" customWidth="1"/>
    <col min="2" max="2" width="11.28515625" style="336" customWidth="1"/>
    <col min="3" max="3" width="1.5703125" customWidth="1"/>
    <col min="5" max="5" width="35.42578125" customWidth="1"/>
    <col min="6" max="6" width="13.42578125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4" width="14.140625" style="156" customWidth="1"/>
    <col min="15" max="15" width="14.140625" style="30" customWidth="1"/>
    <col min="16" max="16" width="17.140625" style="30" customWidth="1"/>
  </cols>
  <sheetData>
    <row r="1" spans="2:16">
      <c r="B1" s="336" t="s">
        <v>49</v>
      </c>
      <c r="C1" t="s">
        <v>3</v>
      </c>
      <c r="D1" s="26" t="s">
        <v>541</v>
      </c>
      <c r="G1" s="307" t="s">
        <v>949</v>
      </c>
      <c r="L1" s="679" t="s">
        <v>337</v>
      </c>
      <c r="M1" s="679"/>
      <c r="N1" s="679"/>
      <c r="O1" s="679"/>
      <c r="P1" s="679"/>
    </row>
    <row r="2" spans="2:16">
      <c r="B2" s="336" t="s">
        <v>50</v>
      </c>
      <c r="C2" t="s">
        <v>3</v>
      </c>
      <c r="D2" s="158" t="s">
        <v>162</v>
      </c>
      <c r="G2" s="18" t="s">
        <v>53</v>
      </c>
      <c r="H2" s="159"/>
      <c r="L2" s="91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>
      <c r="B3" s="336" t="s">
        <v>11</v>
      </c>
      <c r="C3" t="s">
        <v>3</v>
      </c>
      <c r="D3" s="25" t="s">
        <v>542</v>
      </c>
      <c r="G3" s="18" t="s">
        <v>61</v>
      </c>
      <c r="H3" s="292" t="s">
        <v>544</v>
      </c>
      <c r="L3" s="92">
        <v>500000</v>
      </c>
      <c r="M3" s="156">
        <v>100000</v>
      </c>
      <c r="N3" s="156">
        <v>4500000</v>
      </c>
      <c r="O3" s="92">
        <v>0</v>
      </c>
      <c r="P3" s="92"/>
    </row>
    <row r="4" spans="2:16">
      <c r="D4" s="55" t="s">
        <v>543</v>
      </c>
      <c r="G4" s="89" t="s">
        <v>379</v>
      </c>
      <c r="H4" s="141">
        <v>41831</v>
      </c>
      <c r="L4" s="92"/>
      <c r="M4" s="156">
        <v>200000</v>
      </c>
      <c r="N4" s="156">
        <v>-2000000</v>
      </c>
      <c r="O4" s="92">
        <v>23686.314635336545</v>
      </c>
    </row>
    <row r="5" spans="2:16">
      <c r="G5" s="18"/>
      <c r="M5" s="156">
        <v>300000</v>
      </c>
      <c r="N5" s="156">
        <v>-1000000</v>
      </c>
      <c r="O5" s="161">
        <v>51511.697892284988</v>
      </c>
    </row>
    <row r="6" spans="2:16">
      <c r="C6" s="683" t="s">
        <v>472</v>
      </c>
      <c r="D6" s="683"/>
      <c r="E6" s="683"/>
      <c r="G6" s="89" t="s">
        <v>381</v>
      </c>
      <c r="H6" s="142">
        <f>H4</f>
        <v>41831</v>
      </c>
      <c r="M6" s="156">
        <v>100000</v>
      </c>
      <c r="N6" s="156">
        <v>130000</v>
      </c>
      <c r="O6" s="161">
        <v>81933.344027604282</v>
      </c>
    </row>
    <row r="7" spans="2:16">
      <c r="G7" s="24" t="s">
        <v>950</v>
      </c>
      <c r="M7" s="156">
        <v>100000</v>
      </c>
    </row>
    <row r="8" spans="2:16">
      <c r="G8" s="18"/>
      <c r="M8" s="156">
        <v>100000</v>
      </c>
    </row>
    <row r="9" spans="2:16">
      <c r="M9" s="156">
        <v>200000</v>
      </c>
    </row>
    <row r="10" spans="2:16">
      <c r="M10" s="156">
        <v>-100000</v>
      </c>
    </row>
    <row r="11" spans="2:16">
      <c r="G11" s="18" t="s">
        <v>56</v>
      </c>
      <c r="M11" s="156">
        <v>-100000</v>
      </c>
    </row>
    <row r="12" spans="2:16">
      <c r="M12" s="156">
        <v>500000</v>
      </c>
    </row>
    <row r="13" spans="2:16">
      <c r="M13" s="156">
        <v>200000</v>
      </c>
    </row>
    <row r="14" spans="2:16">
      <c r="B14" s="336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21">
        <v>400000</v>
      </c>
    </row>
    <row r="15" spans="2:16" ht="15" customHeight="1">
      <c r="B15" s="336">
        <v>41783</v>
      </c>
      <c r="D15" s="93" t="s">
        <v>465</v>
      </c>
      <c r="F15" s="21">
        <v>500000</v>
      </c>
      <c r="H15" s="21">
        <f>F15-G15</f>
        <v>500000</v>
      </c>
      <c r="M15" s="156">
        <v>400000</v>
      </c>
    </row>
    <row r="16" spans="2:16" ht="15" customHeight="1">
      <c r="B16" s="336">
        <v>41827</v>
      </c>
      <c r="D16" s="55" t="s">
        <v>539</v>
      </c>
      <c r="F16" s="21">
        <v>100000</v>
      </c>
      <c r="H16" s="21">
        <f>H15+F16-G16</f>
        <v>600000</v>
      </c>
    </row>
    <row r="17" spans="2:8" ht="15" customHeight="1">
      <c r="B17" s="336">
        <v>41899</v>
      </c>
      <c r="D17" s="55" t="s">
        <v>553</v>
      </c>
      <c r="F17" s="21">
        <v>200000</v>
      </c>
      <c r="H17" s="21">
        <f t="shared" ref="H17:H35" si="0">H16+F17-G17</f>
        <v>800000</v>
      </c>
    </row>
    <row r="18" spans="2:8" ht="15" customHeight="1">
      <c r="B18" s="336">
        <v>41991</v>
      </c>
      <c r="D18" s="55" t="s">
        <v>567</v>
      </c>
      <c r="F18" s="21">
        <v>300000</v>
      </c>
      <c r="H18" s="21">
        <f t="shared" si="0"/>
        <v>1100000</v>
      </c>
    </row>
    <row r="19" spans="2:8" ht="15" customHeight="1">
      <c r="B19" s="336">
        <v>42005</v>
      </c>
      <c r="D19" s="55" t="s">
        <v>591</v>
      </c>
      <c r="F19" s="21">
        <v>23686.314635336545</v>
      </c>
      <c r="H19" s="21">
        <f t="shared" si="0"/>
        <v>1123686.3146353366</v>
      </c>
    </row>
    <row r="20" spans="2:8" ht="15" customHeight="1">
      <c r="B20" s="336">
        <v>42072</v>
      </c>
      <c r="D20" s="55" t="s">
        <v>623</v>
      </c>
      <c r="F20" s="21">
        <v>100000</v>
      </c>
      <c r="H20" s="21">
        <f t="shared" si="0"/>
        <v>1223686.3146353366</v>
      </c>
    </row>
    <row r="21" spans="2:8" ht="15" customHeight="1">
      <c r="B21" s="336">
        <v>42340</v>
      </c>
      <c r="D21" s="55" t="s">
        <v>672</v>
      </c>
      <c r="F21" s="21">
        <v>100000</v>
      </c>
      <c r="H21" s="21">
        <f t="shared" si="0"/>
        <v>1323686.3146353366</v>
      </c>
    </row>
    <row r="22" spans="2:8" ht="15" customHeight="1">
      <c r="B22" s="336">
        <v>42369</v>
      </c>
      <c r="D22" t="s">
        <v>686</v>
      </c>
      <c r="F22" s="21">
        <v>51511.697892284988</v>
      </c>
      <c r="H22" s="21">
        <f t="shared" si="0"/>
        <v>1375198.0125276216</v>
      </c>
    </row>
    <row r="23" spans="2:8" ht="15" customHeight="1">
      <c r="B23" s="337">
        <v>42407</v>
      </c>
      <c r="D23" s="55" t="s">
        <v>691</v>
      </c>
      <c r="F23" s="21">
        <v>100000</v>
      </c>
      <c r="H23" s="21">
        <f t="shared" si="0"/>
        <v>1475198.0125276216</v>
      </c>
    </row>
    <row r="24" spans="2:8" ht="15" customHeight="1">
      <c r="B24" s="337">
        <v>42580</v>
      </c>
      <c r="D24" t="s">
        <v>711</v>
      </c>
      <c r="F24" s="21">
        <v>200000</v>
      </c>
      <c r="H24" s="21">
        <f t="shared" si="0"/>
        <v>1675198.0125276216</v>
      </c>
    </row>
    <row r="25" spans="2:8" ht="15" customHeight="1">
      <c r="B25" s="337">
        <v>42735</v>
      </c>
      <c r="D25" t="s">
        <v>726</v>
      </c>
      <c r="F25" s="21">
        <v>81933.344027604282</v>
      </c>
      <c r="H25" s="21">
        <f t="shared" si="0"/>
        <v>1757131.3565552258</v>
      </c>
    </row>
    <row r="26" spans="2:8" ht="15" customHeight="1">
      <c r="B26" s="337">
        <v>42917</v>
      </c>
      <c r="D26" t="s">
        <v>762</v>
      </c>
      <c r="G26" s="21">
        <v>100000</v>
      </c>
      <c r="H26" s="21">
        <f t="shared" si="0"/>
        <v>1657131.3565552258</v>
      </c>
    </row>
    <row r="27" spans="2:8" ht="15" customHeight="1">
      <c r="B27" s="337">
        <v>42917</v>
      </c>
      <c r="D27" t="s">
        <v>763</v>
      </c>
      <c r="G27" s="21">
        <v>100000</v>
      </c>
      <c r="H27" s="21">
        <f t="shared" si="0"/>
        <v>1557131.3565552258</v>
      </c>
    </row>
    <row r="28" spans="2:8" ht="15" customHeight="1">
      <c r="B28" s="337">
        <v>43041</v>
      </c>
      <c r="D28" t="s">
        <v>818</v>
      </c>
      <c r="F28" s="21">
        <v>500000</v>
      </c>
      <c r="H28" s="21">
        <f t="shared" si="0"/>
        <v>2057131.3565552258</v>
      </c>
    </row>
    <row r="29" spans="2:8" ht="15" customHeight="1">
      <c r="B29" s="337">
        <v>43041</v>
      </c>
      <c r="D29" t="s">
        <v>282</v>
      </c>
      <c r="F29" s="21">
        <v>4500000</v>
      </c>
      <c r="H29" s="21">
        <f t="shared" si="0"/>
        <v>6557131.3565552253</v>
      </c>
    </row>
    <row r="30" spans="2:8" ht="15" customHeight="1">
      <c r="B30" s="337">
        <v>43116</v>
      </c>
      <c r="D30" t="s">
        <v>853</v>
      </c>
      <c r="G30" s="21">
        <v>2000000</v>
      </c>
      <c r="H30" s="21">
        <f t="shared" si="0"/>
        <v>4557131.3565552253</v>
      </c>
    </row>
    <row r="31" spans="2:8" ht="15" customHeight="1">
      <c r="B31" s="337">
        <v>43125</v>
      </c>
      <c r="D31" t="s">
        <v>853</v>
      </c>
      <c r="E31" t="s">
        <v>854</v>
      </c>
      <c r="G31" s="21">
        <v>1000000</v>
      </c>
      <c r="H31" s="21">
        <f t="shared" si="0"/>
        <v>3557131.3565552253</v>
      </c>
    </row>
    <row r="32" spans="2:8" ht="15" customHeight="1">
      <c r="B32" s="337">
        <v>43498</v>
      </c>
      <c r="D32" t="s">
        <v>985</v>
      </c>
      <c r="F32" s="21">
        <v>200000</v>
      </c>
      <c r="H32" s="21">
        <f t="shared" si="0"/>
        <v>3757131.3565552253</v>
      </c>
    </row>
    <row r="33" spans="2:16" ht="15" customHeight="1">
      <c r="B33" s="337">
        <v>43498</v>
      </c>
      <c r="D33" t="s">
        <v>984</v>
      </c>
      <c r="F33" s="21">
        <v>130000</v>
      </c>
      <c r="H33" s="21">
        <f t="shared" si="0"/>
        <v>3887131.3565552253</v>
      </c>
    </row>
    <row r="34" spans="2:16" ht="15" customHeight="1">
      <c r="B34" s="337">
        <v>43951</v>
      </c>
      <c r="D34" t="s">
        <v>1158</v>
      </c>
      <c r="F34" s="21">
        <v>400000</v>
      </c>
      <c r="H34" s="21">
        <f t="shared" si="0"/>
        <v>4287131.3565552253</v>
      </c>
    </row>
    <row r="35" spans="2:16">
      <c r="B35" s="337">
        <v>43951</v>
      </c>
      <c r="D35" t="s">
        <v>1159</v>
      </c>
      <c r="F35" s="21">
        <v>400000</v>
      </c>
      <c r="G35"/>
      <c r="H35" s="21">
        <f t="shared" si="0"/>
        <v>4687131.3565552253</v>
      </c>
      <c r="L35"/>
      <c r="M35" s="291"/>
      <c r="N35" s="291"/>
      <c r="O35"/>
      <c r="P35"/>
    </row>
    <row r="36" spans="2:16">
      <c r="B36" s="337"/>
      <c r="F36"/>
      <c r="G36"/>
      <c r="H36"/>
      <c r="L36"/>
      <c r="M36" s="291"/>
      <c r="N36" s="291"/>
      <c r="O36"/>
      <c r="P36"/>
    </row>
    <row r="37" spans="2:16" hidden="1">
      <c r="B37" s="337"/>
      <c r="F37"/>
      <c r="G37"/>
      <c r="H37"/>
      <c r="L37"/>
      <c r="M37" s="291"/>
      <c r="N37" s="291"/>
      <c r="O37"/>
      <c r="P37"/>
    </row>
    <row r="38" spans="2:16" hidden="1">
      <c r="B38" s="337"/>
      <c r="F38"/>
      <c r="G38"/>
      <c r="H38"/>
      <c r="L38"/>
      <c r="M38" s="291"/>
      <c r="N38" s="291"/>
      <c r="O38"/>
      <c r="P38"/>
    </row>
    <row r="39" spans="2:16" hidden="1">
      <c r="B39" s="337"/>
      <c r="F39"/>
      <c r="G39"/>
      <c r="H39"/>
      <c r="L39"/>
      <c r="M39" s="291"/>
      <c r="N39" s="291"/>
      <c r="O39"/>
      <c r="P39"/>
    </row>
    <row r="40" spans="2:16" hidden="1">
      <c r="B40" s="337"/>
      <c r="F40"/>
      <c r="G40"/>
      <c r="H40"/>
      <c r="L40"/>
      <c r="M40" s="291"/>
      <c r="N40" s="291"/>
      <c r="O40"/>
      <c r="P40"/>
    </row>
    <row r="41" spans="2:16" hidden="1">
      <c r="B41" s="337"/>
      <c r="F41"/>
      <c r="G41"/>
      <c r="H41"/>
      <c r="L41"/>
      <c r="M41" s="291"/>
      <c r="N41" s="291"/>
      <c r="O41"/>
      <c r="P41"/>
    </row>
    <row r="42" spans="2:16" hidden="1">
      <c r="B42" s="337"/>
      <c r="F42"/>
      <c r="G42"/>
      <c r="H42"/>
      <c r="L42"/>
      <c r="M42" s="291"/>
      <c r="N42" s="291"/>
      <c r="O42"/>
      <c r="P42"/>
    </row>
    <row r="43" spans="2:16" hidden="1">
      <c r="B43" s="337"/>
      <c r="F43"/>
      <c r="G43"/>
      <c r="H43"/>
      <c r="L43"/>
      <c r="M43" s="291"/>
      <c r="N43" s="291"/>
      <c r="O43"/>
      <c r="P43"/>
    </row>
    <row r="44" spans="2:16" hidden="1">
      <c r="B44" s="337"/>
      <c r="F44"/>
      <c r="G44"/>
      <c r="H44"/>
      <c r="L44"/>
      <c r="M44" s="291"/>
      <c r="N44" s="291"/>
      <c r="O44"/>
      <c r="P44"/>
    </row>
    <row r="45" spans="2:16" hidden="1">
      <c r="B45" s="337"/>
      <c r="F45"/>
      <c r="G45"/>
      <c r="H45"/>
      <c r="L45"/>
      <c r="M45" s="291"/>
      <c r="N45" s="291"/>
      <c r="O45"/>
      <c r="P45"/>
    </row>
    <row r="46" spans="2:16" hidden="1">
      <c r="B46" s="337"/>
      <c r="F46"/>
      <c r="G46"/>
      <c r="H46"/>
      <c r="L46"/>
      <c r="M46" s="291"/>
      <c r="N46" s="291"/>
      <c r="O46"/>
      <c r="P46"/>
    </row>
    <row r="47" spans="2:16" hidden="1">
      <c r="B47" s="337"/>
      <c r="F47"/>
      <c r="G47"/>
      <c r="H47"/>
      <c r="L47"/>
      <c r="M47" s="291"/>
      <c r="N47" s="291"/>
      <c r="O47"/>
      <c r="P47"/>
    </row>
    <row r="48" spans="2:16" hidden="1"/>
    <row r="49" spans="2:16" hidden="1"/>
    <row r="52" spans="2:16">
      <c r="B52" s="337"/>
      <c r="D52" s="76" t="s">
        <v>307</v>
      </c>
      <c r="E52" s="48"/>
      <c r="F52" s="53">
        <f>SUM(F15:F51)</f>
        <v>7887131.3565552253</v>
      </c>
      <c r="G52" s="53">
        <f>SUM(G15:G51)</f>
        <v>3200000</v>
      </c>
      <c r="H52" s="77">
        <f>F52-G52</f>
        <v>4687131.3565552253</v>
      </c>
      <c r="L52" s="92">
        <f>SUM(L3:L11)</f>
        <v>500000</v>
      </c>
      <c r="M52" s="156">
        <f>SUM(M3:M30)</f>
        <v>2400000</v>
      </c>
      <c r="N52" s="156">
        <f>SUM(N3:N11)</f>
        <v>1630000</v>
      </c>
      <c r="O52" s="92">
        <f>SUM(O3:O11)</f>
        <v>157131.35655522579</v>
      </c>
      <c r="P52" s="92">
        <f>SUM(P3:P11)</f>
        <v>0</v>
      </c>
    </row>
    <row r="53" spans="2:16">
      <c r="P53" s="92">
        <f>SUM(L52:P52)</f>
        <v>4687131.3565552253</v>
      </c>
    </row>
  </sheetData>
  <mergeCells count="2">
    <mergeCell ref="L1:P1"/>
    <mergeCell ref="C6:E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B1:P52"/>
  <sheetViews>
    <sheetView topLeftCell="A16" workbookViewId="0">
      <selection activeCell="G60" sqref="G60:H60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11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840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163</v>
      </c>
      <c r="G2" s="18" t="s">
        <v>53</v>
      </c>
      <c r="H2" s="159"/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841</v>
      </c>
      <c r="G3" s="18" t="s">
        <v>61</v>
      </c>
      <c r="H3" s="292" t="s">
        <v>548</v>
      </c>
      <c r="L3" s="92">
        <v>500000</v>
      </c>
      <c r="M3" s="156">
        <v>50000</v>
      </c>
      <c r="N3" s="92"/>
      <c r="O3" s="92"/>
      <c r="P3" s="92"/>
    </row>
    <row r="4" spans="2:16">
      <c r="D4" s="55" t="s">
        <v>411</v>
      </c>
      <c r="G4" s="89" t="s">
        <v>379</v>
      </c>
      <c r="H4" s="141">
        <f>B15</f>
        <v>43102</v>
      </c>
      <c r="L4" s="92"/>
      <c r="N4" s="92"/>
      <c r="O4" s="92"/>
    </row>
    <row r="5" spans="2:16">
      <c r="G5" s="18"/>
    </row>
    <row r="6" spans="2:16">
      <c r="C6" s="685" t="s">
        <v>472</v>
      </c>
      <c r="D6" s="685"/>
      <c r="E6" s="685"/>
      <c r="G6" s="89" t="s">
        <v>381</v>
      </c>
      <c r="H6" s="142">
        <f>H4</f>
        <v>43102</v>
      </c>
    </row>
    <row r="7" spans="2:16">
      <c r="G7" s="24" t="s">
        <v>55</v>
      </c>
    </row>
    <row r="8" spans="2:16">
      <c r="G8" s="18"/>
      <c r="M8" s="32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336">
        <v>43102</v>
      </c>
      <c r="D15" s="93" t="s">
        <v>465</v>
      </c>
      <c r="F15" s="21">
        <v>500000</v>
      </c>
      <c r="H15" s="21">
        <f>F15-G15</f>
        <v>500000</v>
      </c>
    </row>
    <row r="16" spans="2:16" ht="15" customHeight="1">
      <c r="B16" s="336">
        <v>43102</v>
      </c>
      <c r="D16" s="55" t="s">
        <v>286</v>
      </c>
      <c r="F16" s="21">
        <v>50000</v>
      </c>
      <c r="H16" s="21">
        <f>H15+F16-G16</f>
        <v>550000</v>
      </c>
    </row>
    <row r="17" spans="2:4" ht="15" customHeight="1">
      <c r="B17" s="336"/>
      <c r="D17" s="55"/>
    </row>
    <row r="18" spans="2:4" ht="15" customHeight="1">
      <c r="B18" s="336"/>
      <c r="D18" s="55"/>
    </row>
    <row r="19" spans="2:4" ht="15" customHeight="1">
      <c r="B19" s="336"/>
      <c r="D19" s="55"/>
    </row>
    <row r="20" spans="2:4" ht="15" customHeight="1">
      <c r="B20" s="336"/>
      <c r="D20" s="55"/>
    </row>
    <row r="21" spans="2:4" ht="15" customHeight="1">
      <c r="B21" s="336"/>
      <c r="D21" s="55"/>
    </row>
    <row r="22" spans="2:4" ht="15" customHeight="1">
      <c r="B22" s="336"/>
      <c r="D22" s="55"/>
    </row>
    <row r="23" spans="2:4" ht="15" customHeight="1">
      <c r="B23" s="336"/>
      <c r="D23" s="55"/>
    </row>
    <row r="24" spans="2:4" ht="15" customHeight="1">
      <c r="B24" s="336"/>
      <c r="D24" s="55"/>
    </row>
    <row r="25" spans="2:4" ht="15" customHeight="1">
      <c r="B25" s="336"/>
      <c r="D25" s="55"/>
    </row>
    <row r="26" spans="2:4" ht="15" customHeight="1">
      <c r="B26" s="336"/>
      <c r="D26" s="55"/>
    </row>
    <row r="27" spans="2:4" ht="15" customHeight="1">
      <c r="B27" s="338"/>
      <c r="D27" s="55"/>
    </row>
    <row r="28" spans="2:4" ht="15" customHeight="1">
      <c r="B28" s="337"/>
    </row>
    <row r="29" spans="2:4" ht="15" customHeight="1">
      <c r="B29" s="337"/>
    </row>
    <row r="30" spans="2:4" ht="15" customHeight="1">
      <c r="B30" s="337"/>
    </row>
    <row r="31" spans="2:4" ht="15" customHeight="1">
      <c r="B31" s="337"/>
    </row>
    <row r="32" spans="2:4" ht="15" customHeight="1">
      <c r="B32"/>
    </row>
    <row r="33" spans="2:16" ht="15" customHeight="1">
      <c r="B33"/>
    </row>
    <row r="34" spans="2:16">
      <c r="B34"/>
      <c r="F34"/>
      <c r="G34"/>
      <c r="H34"/>
      <c r="L34"/>
      <c r="M34" s="291"/>
      <c r="N34"/>
      <c r="O34"/>
      <c r="P34"/>
    </row>
    <row r="35" spans="2:16">
      <c r="B35"/>
      <c r="F35"/>
      <c r="G35"/>
      <c r="H35"/>
      <c r="L35"/>
      <c r="M35" s="291"/>
      <c r="N35"/>
      <c r="O35"/>
      <c r="P35"/>
    </row>
    <row r="36" spans="2:16">
      <c r="B36"/>
      <c r="F36"/>
      <c r="G36"/>
      <c r="H36"/>
      <c r="L36"/>
      <c r="M36" s="291"/>
      <c r="N36"/>
      <c r="O36"/>
      <c r="P36"/>
    </row>
    <row r="37" spans="2:16">
      <c r="B37"/>
      <c r="F37"/>
      <c r="G37"/>
      <c r="H37"/>
      <c r="L37"/>
      <c r="M37" s="291"/>
      <c r="N37"/>
      <c r="O37"/>
      <c r="P37"/>
    </row>
    <row r="38" spans="2:16">
      <c r="B38"/>
      <c r="F38"/>
      <c r="G38"/>
      <c r="H38"/>
      <c r="L38"/>
      <c r="M38" s="291"/>
      <c r="N38"/>
      <c r="O38"/>
      <c r="P38"/>
    </row>
    <row r="39" spans="2:16">
      <c r="B39"/>
      <c r="F39"/>
      <c r="G39"/>
      <c r="H39"/>
      <c r="L39"/>
      <c r="M39" s="291"/>
      <c r="N39"/>
      <c r="O39"/>
      <c r="P39"/>
    </row>
    <row r="40" spans="2:16">
      <c r="B40"/>
      <c r="F40"/>
      <c r="G40"/>
      <c r="H40"/>
      <c r="L40"/>
      <c r="M40" s="291"/>
      <c r="N40"/>
      <c r="O40"/>
      <c r="P40"/>
    </row>
    <row r="41" spans="2:16">
      <c r="B41"/>
      <c r="F41"/>
      <c r="G41"/>
      <c r="H41"/>
      <c r="L41"/>
      <c r="M41" s="291"/>
      <c r="N41"/>
      <c r="O41"/>
      <c r="P41"/>
    </row>
    <row r="42" spans="2:16">
      <c r="B42"/>
      <c r="F42"/>
      <c r="G42"/>
      <c r="H42"/>
      <c r="L42"/>
      <c r="M42" s="291"/>
      <c r="N42"/>
      <c r="O42"/>
      <c r="P42"/>
    </row>
    <row r="43" spans="2:16">
      <c r="B43"/>
      <c r="F43"/>
      <c r="G43"/>
      <c r="H43"/>
      <c r="L43"/>
      <c r="M43" s="291"/>
      <c r="N43"/>
      <c r="O43"/>
      <c r="P43"/>
    </row>
    <row r="44" spans="2:16">
      <c r="B44"/>
      <c r="F44"/>
      <c r="G44"/>
      <c r="H44"/>
      <c r="L44"/>
      <c r="M44" s="291"/>
      <c r="N44"/>
      <c r="O44"/>
      <c r="P44"/>
    </row>
    <row r="45" spans="2:16">
      <c r="B45"/>
      <c r="F45"/>
      <c r="G45"/>
      <c r="H45"/>
      <c r="L45"/>
      <c r="M45" s="291"/>
      <c r="N45"/>
      <c r="O45"/>
      <c r="P45"/>
    </row>
    <row r="46" spans="2:16">
      <c r="B46"/>
      <c r="F46"/>
      <c r="G46"/>
      <c r="H46"/>
      <c r="L46"/>
      <c r="M46" s="291"/>
      <c r="N46"/>
      <c r="O46"/>
      <c r="P46"/>
    </row>
    <row r="51" spans="2:16">
      <c r="B51"/>
      <c r="D51" s="76" t="s">
        <v>307</v>
      </c>
      <c r="E51" s="48"/>
      <c r="F51" s="53">
        <f>SUM(F15:F50)</f>
        <v>550000</v>
      </c>
      <c r="G51" s="53">
        <f>SUM(G15:G50)</f>
        <v>0</v>
      </c>
      <c r="H51" s="77">
        <f>F51-G51</f>
        <v>550000</v>
      </c>
      <c r="L51" s="92">
        <f>SUM(L3:L11)</f>
        <v>500000</v>
      </c>
      <c r="M51" s="156">
        <f>SUM(M3:M11)</f>
        <v>50000</v>
      </c>
      <c r="N51" s="92">
        <f>SUM(N3:N11)</f>
        <v>0</v>
      </c>
      <c r="O51" s="92">
        <f>SUM(O3:O11)</f>
        <v>0</v>
      </c>
      <c r="P51" s="92">
        <f>SUM(P3:P11)</f>
        <v>0</v>
      </c>
    </row>
    <row r="52" spans="2:16">
      <c r="P52" s="92">
        <f>SUM(L51:P51)</f>
        <v>550000</v>
      </c>
    </row>
  </sheetData>
  <mergeCells count="2">
    <mergeCell ref="L1:P1"/>
    <mergeCell ref="C6:E6"/>
  </mergeCells>
  <pageMargins left="0.70866141732283472" right="0.70866141732283472" top="0.74803149606299213" bottom="0.74803149606299213" header="0.31496062992125984" footer="0.31496062992125984"/>
  <pageSetup paperSize="9" scale="75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F0"/>
  </sheetPr>
  <dimension ref="B1:P54"/>
  <sheetViews>
    <sheetView workbookViewId="0">
      <pane ySplit="765" topLeftCell="A19" activePane="bottomLeft"/>
      <selection pane="bottomLeft" activeCell="M23" sqref="M23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19.57031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332" customWidth="1"/>
    <col min="14" max="14" width="14.140625" style="51" customWidth="1"/>
    <col min="15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560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164</v>
      </c>
      <c r="G2" s="18" t="s">
        <v>53</v>
      </c>
      <c r="H2" s="159"/>
      <c r="L2" s="91" t="s">
        <v>338</v>
      </c>
      <c r="M2" s="331" t="s">
        <v>339</v>
      </c>
      <c r="N2" s="334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561</v>
      </c>
      <c r="G3" s="18" t="s">
        <v>61</v>
      </c>
      <c r="H3" s="292" t="s">
        <v>563</v>
      </c>
      <c r="L3" s="92">
        <v>500000</v>
      </c>
      <c r="M3" s="332">
        <v>50000</v>
      </c>
      <c r="N3" s="335">
        <v>100000</v>
      </c>
      <c r="O3" s="92">
        <v>0</v>
      </c>
      <c r="P3" s="92"/>
    </row>
    <row r="4" spans="2:16">
      <c r="D4" s="55" t="s">
        <v>562</v>
      </c>
      <c r="G4" s="89" t="s">
        <v>379</v>
      </c>
      <c r="H4" s="141">
        <v>41985</v>
      </c>
      <c r="L4" s="92"/>
      <c r="M4" s="332">
        <f>F18</f>
        <v>50000</v>
      </c>
      <c r="N4" s="51">
        <v>100000</v>
      </c>
      <c r="O4" s="161">
        <v>1973.8595529447118</v>
      </c>
    </row>
    <row r="5" spans="2:16">
      <c r="G5" s="18"/>
      <c r="M5" s="333">
        <v>50000</v>
      </c>
      <c r="N5" s="51">
        <v>-100000</v>
      </c>
      <c r="O5" s="161">
        <v>38992.149558845507</v>
      </c>
    </row>
    <row r="6" spans="2:16">
      <c r="C6" s="686" t="s">
        <v>472</v>
      </c>
      <c r="D6" s="686"/>
      <c r="E6" s="686"/>
      <c r="G6" s="89" t="s">
        <v>381</v>
      </c>
      <c r="H6" s="142">
        <f>H4</f>
        <v>41985</v>
      </c>
      <c r="M6" s="333">
        <v>50000</v>
      </c>
      <c r="N6" s="51">
        <v>-100000</v>
      </c>
      <c r="O6" s="342">
        <v>60695.209874147891</v>
      </c>
    </row>
    <row r="7" spans="2:16">
      <c r="G7" s="24" t="s">
        <v>55</v>
      </c>
      <c r="M7" s="332">
        <v>50000</v>
      </c>
    </row>
    <row r="8" spans="2:16">
      <c r="G8" s="18"/>
      <c r="M8" s="332">
        <v>50000</v>
      </c>
    </row>
    <row r="9" spans="2:16">
      <c r="M9" s="332">
        <v>100000</v>
      </c>
    </row>
    <row r="10" spans="2:16">
      <c r="M10" s="332">
        <v>100000</v>
      </c>
    </row>
    <row r="11" spans="2:16">
      <c r="G11" s="18" t="s">
        <v>56</v>
      </c>
      <c r="M11" s="332">
        <v>250000</v>
      </c>
    </row>
    <row r="12" spans="2:16">
      <c r="M12" s="332">
        <v>50000</v>
      </c>
    </row>
    <row r="13" spans="2:16">
      <c r="M13" s="332">
        <v>50000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332">
        <v>50000</v>
      </c>
    </row>
    <row r="15" spans="2:16" ht="15" customHeight="1">
      <c r="B15" s="19">
        <v>41985</v>
      </c>
      <c r="D15" s="93" t="s">
        <v>465</v>
      </c>
      <c r="F15" s="21">
        <v>500000</v>
      </c>
      <c r="H15" s="21">
        <f>F15-G15</f>
        <v>500000</v>
      </c>
      <c r="M15" s="332">
        <v>50000</v>
      </c>
    </row>
    <row r="16" spans="2:16" ht="15" customHeight="1">
      <c r="B16" s="19">
        <v>41985</v>
      </c>
      <c r="D16" s="55" t="s">
        <v>564</v>
      </c>
      <c r="F16" s="21">
        <v>50000</v>
      </c>
      <c r="H16" s="21">
        <f>H15+F16-G16</f>
        <v>550000</v>
      </c>
      <c r="M16" s="332">
        <v>100000</v>
      </c>
    </row>
    <row r="17" spans="2:13" ht="15" customHeight="1">
      <c r="B17" s="336">
        <v>42004</v>
      </c>
      <c r="D17" s="55" t="s">
        <v>591</v>
      </c>
      <c r="F17" s="21">
        <v>1973.8595529447118</v>
      </c>
      <c r="H17" s="21">
        <f t="shared" ref="H17:H42" si="0">H16+F17-G17</f>
        <v>551973.85955294466</v>
      </c>
      <c r="M17" s="332">
        <v>100000</v>
      </c>
    </row>
    <row r="18" spans="2:13" ht="15" customHeight="1">
      <c r="B18" s="19">
        <v>42029</v>
      </c>
      <c r="D18" s="55" t="s">
        <v>599</v>
      </c>
      <c r="F18" s="21">
        <v>50000</v>
      </c>
      <c r="H18" s="21">
        <f t="shared" si="0"/>
        <v>601973.85955294466</v>
      </c>
      <c r="M18" s="332">
        <v>300000</v>
      </c>
    </row>
    <row r="19" spans="2:13" ht="15" customHeight="1">
      <c r="B19" s="19">
        <v>42115</v>
      </c>
      <c r="D19" s="144" t="s">
        <v>628</v>
      </c>
      <c r="E19" s="145"/>
      <c r="F19" s="291">
        <v>50000</v>
      </c>
      <c r="H19" s="21">
        <f t="shared" si="0"/>
        <v>651973.85955294466</v>
      </c>
      <c r="M19" s="332">
        <v>400000</v>
      </c>
    </row>
    <row r="20" spans="2:13" ht="15" customHeight="1">
      <c r="B20" s="19">
        <v>42115</v>
      </c>
      <c r="D20" s="144" t="s">
        <v>629</v>
      </c>
      <c r="E20" s="145"/>
      <c r="F20" s="291">
        <v>100000</v>
      </c>
      <c r="H20" s="21">
        <f t="shared" si="0"/>
        <v>751973.85955294466</v>
      </c>
      <c r="M20" s="332">
        <v>250000</v>
      </c>
    </row>
    <row r="21" spans="2:13" ht="15" customHeight="1">
      <c r="B21" s="19">
        <v>42146</v>
      </c>
      <c r="D21" s="55" t="s">
        <v>629</v>
      </c>
      <c r="F21" s="21">
        <v>100000</v>
      </c>
      <c r="H21" s="21">
        <f t="shared" si="0"/>
        <v>851973.85955294466</v>
      </c>
      <c r="M21" s="21">
        <v>300000</v>
      </c>
    </row>
    <row r="22" spans="2:13" ht="15" customHeight="1">
      <c r="B22" s="19">
        <v>42190</v>
      </c>
      <c r="D22" s="55" t="s">
        <v>628</v>
      </c>
      <c r="F22" s="21">
        <v>50000</v>
      </c>
      <c r="H22" s="21">
        <f t="shared" si="0"/>
        <v>901973.85955294466</v>
      </c>
      <c r="M22" s="332">
        <v>200000</v>
      </c>
    </row>
    <row r="23" spans="2:13" ht="15" customHeight="1">
      <c r="B23" s="19">
        <v>42258</v>
      </c>
      <c r="D23" s="55" t="s">
        <v>628</v>
      </c>
      <c r="F23" s="21">
        <v>50000</v>
      </c>
      <c r="H23" s="21">
        <f t="shared" si="0"/>
        <v>951973.85955294466</v>
      </c>
    </row>
    <row r="24" spans="2:13" ht="15" customHeight="1">
      <c r="B24" s="19">
        <v>42307</v>
      </c>
      <c r="D24" s="55" t="s">
        <v>628</v>
      </c>
      <c r="F24" s="21">
        <v>50000</v>
      </c>
      <c r="H24" s="21">
        <f t="shared" si="0"/>
        <v>1001973.8595529447</v>
      </c>
    </row>
    <row r="25" spans="2:13" ht="15" customHeight="1">
      <c r="B25" s="336">
        <v>42369</v>
      </c>
      <c r="D25" s="55" t="s">
        <v>686</v>
      </c>
      <c r="F25" s="21">
        <v>38992.149558845507</v>
      </c>
      <c r="H25" s="21">
        <f t="shared" si="0"/>
        <v>1040966.0091117902</v>
      </c>
    </row>
    <row r="26" spans="2:13" ht="15" customHeight="1">
      <c r="B26" s="302">
        <v>42395</v>
      </c>
      <c r="D26" s="55" t="s">
        <v>628</v>
      </c>
      <c r="F26" s="21">
        <v>100000</v>
      </c>
      <c r="H26" s="21">
        <f t="shared" si="0"/>
        <v>1140966.0091117902</v>
      </c>
    </row>
    <row r="27" spans="2:13" ht="15" customHeight="1">
      <c r="B27" s="351">
        <v>42604</v>
      </c>
      <c r="C27" s="352" t="s">
        <v>714</v>
      </c>
      <c r="D27" s="325"/>
      <c r="E27" s="325"/>
      <c r="F27" s="326">
        <v>100000</v>
      </c>
      <c r="H27" s="21">
        <f t="shared" si="0"/>
        <v>1240966.0091117902</v>
      </c>
    </row>
    <row r="28" spans="2:13" ht="15" customHeight="1">
      <c r="B28" s="351">
        <v>42735</v>
      </c>
      <c r="C28" s="352"/>
      <c r="D28" s="325" t="s">
        <v>726</v>
      </c>
      <c r="E28" s="325"/>
      <c r="F28" s="21">
        <v>60695.209874147891</v>
      </c>
      <c r="H28" s="21">
        <f t="shared" si="0"/>
        <v>1301661.218985938</v>
      </c>
    </row>
    <row r="29" spans="2:13" ht="15" customHeight="1">
      <c r="B29" s="337">
        <v>42835</v>
      </c>
      <c r="D29" s="325" t="s">
        <v>749</v>
      </c>
      <c r="F29" s="21">
        <v>250000</v>
      </c>
      <c r="H29" s="21">
        <f t="shared" si="0"/>
        <v>1551661.218985938</v>
      </c>
    </row>
    <row r="30" spans="2:13" ht="15" customHeight="1">
      <c r="B30" s="337">
        <v>42917</v>
      </c>
      <c r="D30" t="s">
        <v>762</v>
      </c>
      <c r="G30" s="21">
        <v>100000</v>
      </c>
      <c r="H30" s="21">
        <f t="shared" si="0"/>
        <v>1451661.218985938</v>
      </c>
    </row>
    <row r="31" spans="2:13" ht="15" customHeight="1">
      <c r="B31" s="337">
        <v>42917</v>
      </c>
      <c r="D31" t="s">
        <v>763</v>
      </c>
      <c r="G31" s="21">
        <v>100000</v>
      </c>
      <c r="H31" s="21">
        <f t="shared" si="0"/>
        <v>1351661.218985938</v>
      </c>
    </row>
    <row r="32" spans="2:13" ht="15" customHeight="1">
      <c r="B32" s="337">
        <v>42923</v>
      </c>
      <c r="D32" s="55" t="s">
        <v>286</v>
      </c>
      <c r="F32" s="21">
        <v>50000</v>
      </c>
      <c r="H32" s="21">
        <f t="shared" si="0"/>
        <v>1401661.218985938</v>
      </c>
    </row>
    <row r="33" spans="2:16" ht="15" customHeight="1">
      <c r="B33" s="19">
        <v>42996</v>
      </c>
      <c r="C33" s="55" t="s">
        <v>286</v>
      </c>
      <c r="D33" s="105" t="s">
        <v>782</v>
      </c>
      <c r="F33" s="326">
        <v>50000</v>
      </c>
      <c r="H33" s="21">
        <f t="shared" si="0"/>
        <v>1451661.218985938</v>
      </c>
    </row>
    <row r="34" spans="2:16" ht="15" customHeight="1">
      <c r="B34" s="337">
        <v>43017</v>
      </c>
      <c r="D34" t="s">
        <v>286</v>
      </c>
      <c r="F34" s="21">
        <v>50000</v>
      </c>
      <c r="H34" s="21">
        <f t="shared" si="0"/>
        <v>1501661.218985938</v>
      </c>
    </row>
    <row r="35" spans="2:16" ht="15" customHeight="1">
      <c r="B35" s="337">
        <v>43065</v>
      </c>
      <c r="D35" t="s">
        <v>833</v>
      </c>
      <c r="F35" s="21">
        <v>50000</v>
      </c>
      <c r="H35" s="21">
        <f t="shared" si="0"/>
        <v>1551661.218985938</v>
      </c>
    </row>
    <row r="36" spans="2:16">
      <c r="B36" s="337">
        <v>43082</v>
      </c>
      <c r="D36" t="s">
        <v>836</v>
      </c>
      <c r="F36" s="21">
        <v>100000</v>
      </c>
      <c r="G36"/>
      <c r="H36" s="21">
        <f t="shared" si="0"/>
        <v>1651661.218985938</v>
      </c>
      <c r="L36"/>
      <c r="M36" s="333"/>
      <c r="N36" s="23"/>
      <c r="O36"/>
      <c r="P36"/>
    </row>
    <row r="37" spans="2:16">
      <c r="B37" s="337">
        <v>43135</v>
      </c>
      <c r="D37" t="s">
        <v>856</v>
      </c>
      <c r="F37" s="21">
        <v>100000</v>
      </c>
      <c r="G37"/>
      <c r="H37" s="21">
        <f t="shared" si="0"/>
        <v>1751661.218985938</v>
      </c>
      <c r="L37"/>
      <c r="M37" s="333"/>
      <c r="N37" s="23"/>
      <c r="O37"/>
      <c r="P37"/>
    </row>
    <row r="38" spans="2:16">
      <c r="B38" s="337">
        <v>43342</v>
      </c>
      <c r="D38" t="s">
        <v>906</v>
      </c>
      <c r="F38" s="21">
        <v>300000</v>
      </c>
      <c r="G38"/>
      <c r="H38" s="21">
        <f t="shared" si="0"/>
        <v>2051661.218985938</v>
      </c>
      <c r="L38"/>
      <c r="M38" s="333"/>
      <c r="N38" s="23"/>
      <c r="O38"/>
      <c r="P38"/>
    </row>
    <row r="39" spans="2:16">
      <c r="B39" s="337">
        <v>43474</v>
      </c>
      <c r="D39" t="s">
        <v>955</v>
      </c>
      <c r="F39" s="21">
        <v>400000</v>
      </c>
      <c r="G39"/>
      <c r="H39" s="21">
        <f t="shared" si="0"/>
        <v>2451661.218985938</v>
      </c>
      <c r="L39"/>
      <c r="M39" s="333"/>
      <c r="N39" s="23"/>
      <c r="O39"/>
      <c r="P39"/>
    </row>
    <row r="40" spans="2:16">
      <c r="B40" s="337">
        <v>43674</v>
      </c>
      <c r="D40" t="s">
        <v>1060</v>
      </c>
      <c r="F40" s="21">
        <v>250000</v>
      </c>
      <c r="G40"/>
      <c r="H40" s="21">
        <f t="shared" si="0"/>
        <v>2701661.218985938</v>
      </c>
      <c r="L40"/>
      <c r="M40" s="333"/>
      <c r="N40" s="23"/>
      <c r="O40"/>
      <c r="P40"/>
    </row>
    <row r="41" spans="2:16">
      <c r="B41" s="337">
        <v>43808</v>
      </c>
      <c r="D41" t="s">
        <v>1089</v>
      </c>
      <c r="F41" s="21">
        <v>300000</v>
      </c>
      <c r="G41"/>
      <c r="H41" s="21">
        <f t="shared" si="0"/>
        <v>3001661.218985938</v>
      </c>
      <c r="L41"/>
      <c r="M41" s="333"/>
      <c r="N41" s="23"/>
      <c r="O41"/>
      <c r="P41"/>
    </row>
    <row r="42" spans="2:16">
      <c r="B42" s="337">
        <v>43944</v>
      </c>
      <c r="D42" s="55" t="s">
        <v>1132</v>
      </c>
      <c r="F42" s="21">
        <v>200000</v>
      </c>
      <c r="G42"/>
      <c r="H42" s="21">
        <f t="shared" si="0"/>
        <v>3201661.218985938</v>
      </c>
      <c r="L42"/>
      <c r="M42" s="333"/>
      <c r="N42" s="23"/>
      <c r="O42"/>
      <c r="P42"/>
    </row>
    <row r="43" spans="2:16">
      <c r="B43"/>
      <c r="F43"/>
      <c r="G43"/>
      <c r="H43"/>
      <c r="L43"/>
      <c r="M43" s="333"/>
      <c r="N43" s="23"/>
      <c r="O43"/>
      <c r="P43"/>
    </row>
    <row r="44" spans="2:16">
      <c r="B44"/>
      <c r="F44"/>
      <c r="G44"/>
      <c r="H44"/>
      <c r="L44"/>
      <c r="M44" s="333"/>
      <c r="N44" s="23"/>
      <c r="O44"/>
      <c r="P44"/>
    </row>
    <row r="45" spans="2:16">
      <c r="B45"/>
      <c r="F45"/>
      <c r="G45"/>
      <c r="H45"/>
      <c r="L45"/>
      <c r="M45" s="333"/>
      <c r="N45" s="23"/>
      <c r="O45"/>
      <c r="P45"/>
    </row>
    <row r="46" spans="2:16">
      <c r="B46"/>
      <c r="F46"/>
      <c r="G46"/>
      <c r="H46"/>
      <c r="L46"/>
      <c r="M46" s="333"/>
      <c r="N46" s="23"/>
      <c r="O46"/>
      <c r="P46"/>
    </row>
    <row r="47" spans="2:16">
      <c r="B47"/>
      <c r="F47"/>
      <c r="G47"/>
      <c r="H47"/>
      <c r="L47"/>
      <c r="M47" s="333"/>
      <c r="N47" s="23"/>
      <c r="O47"/>
      <c r="P47"/>
    </row>
    <row r="48" spans="2:16">
      <c r="B48"/>
      <c r="F48"/>
      <c r="G48"/>
      <c r="H48"/>
      <c r="L48"/>
      <c r="M48" s="333"/>
      <c r="N48" s="23"/>
      <c r="O48"/>
      <c r="P48"/>
    </row>
    <row r="53" spans="2:16">
      <c r="B53"/>
      <c r="D53" s="76" t="s">
        <v>307</v>
      </c>
      <c r="E53" s="48"/>
      <c r="F53" s="53">
        <f>SUM(F15:F52)</f>
        <v>3401661.218985938</v>
      </c>
      <c r="G53" s="53">
        <f>SUM(G15:G52)</f>
        <v>200000</v>
      </c>
      <c r="H53" s="77">
        <f>F53-G53</f>
        <v>3201661.218985938</v>
      </c>
      <c r="L53" s="92">
        <f>SUM(L3:L11)</f>
        <v>500000</v>
      </c>
      <c r="M53" s="332">
        <f>SUM(M3:M52)</f>
        <v>2600000</v>
      </c>
      <c r="N53" s="51">
        <f>SUM(N3:N11)</f>
        <v>0</v>
      </c>
      <c r="O53" s="92">
        <f>SUM(O3:O11)</f>
        <v>101661.21898593812</v>
      </c>
      <c r="P53" s="92">
        <f>SUM(P3:P11)</f>
        <v>0</v>
      </c>
    </row>
    <row r="54" spans="2:16">
      <c r="P54" s="92">
        <f>SUM(L53:P53)</f>
        <v>3201661.218985938</v>
      </c>
    </row>
  </sheetData>
  <mergeCells count="2">
    <mergeCell ref="L1:P1"/>
    <mergeCell ref="C6:E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F0"/>
  </sheetPr>
  <dimension ref="B1:P54"/>
  <sheetViews>
    <sheetView topLeftCell="A10" zoomScale="80" zoomScaleNormal="80" workbookViewId="0">
      <selection activeCell="G39" sqref="G39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369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332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569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165</v>
      </c>
      <c r="G2" s="18" t="s">
        <v>53</v>
      </c>
      <c r="H2" s="159"/>
      <c r="L2" s="91" t="s">
        <v>338</v>
      </c>
      <c r="M2" s="33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570</v>
      </c>
      <c r="G3" s="18" t="s">
        <v>61</v>
      </c>
      <c r="H3" s="292" t="s">
        <v>572</v>
      </c>
      <c r="L3" s="92">
        <v>500000</v>
      </c>
      <c r="M3" s="332">
        <v>50000</v>
      </c>
      <c r="N3" s="92"/>
      <c r="O3" s="21">
        <v>9728.8340377070363</v>
      </c>
      <c r="P3" s="92"/>
    </row>
    <row r="4" spans="2:16">
      <c r="D4" s="55" t="s">
        <v>571</v>
      </c>
      <c r="G4" s="89" t="s">
        <v>379</v>
      </c>
      <c r="H4" s="141">
        <v>42004</v>
      </c>
      <c r="L4" s="92"/>
      <c r="M4" s="332">
        <v>50000</v>
      </c>
      <c r="N4" s="92"/>
      <c r="O4" s="21">
        <v>21262.433963963074</v>
      </c>
    </row>
    <row r="5" spans="2:16">
      <c r="G5" s="18"/>
      <c r="M5" s="332">
        <v>50000</v>
      </c>
      <c r="O5" s="156">
        <v>-25000</v>
      </c>
    </row>
    <row r="6" spans="2:16">
      <c r="C6" s="686" t="s">
        <v>454</v>
      </c>
      <c r="D6" s="686"/>
      <c r="E6" s="686"/>
      <c r="G6" s="89" t="s">
        <v>381</v>
      </c>
      <c r="H6" s="142">
        <f>H4</f>
        <v>42004</v>
      </c>
      <c r="M6" s="332">
        <v>50000</v>
      </c>
    </row>
    <row r="7" spans="2:16">
      <c r="G7" s="24" t="s">
        <v>55</v>
      </c>
      <c r="M7" s="332">
        <v>50000</v>
      </c>
    </row>
    <row r="8" spans="2:16">
      <c r="G8" s="18"/>
      <c r="M8" s="332">
        <v>50000</v>
      </c>
    </row>
    <row r="9" spans="2:16">
      <c r="M9" s="332">
        <v>50000</v>
      </c>
    </row>
    <row r="10" spans="2:16">
      <c r="M10" s="332">
        <v>50000</v>
      </c>
    </row>
    <row r="11" spans="2:16">
      <c r="G11" s="18" t="s">
        <v>56</v>
      </c>
      <c r="M11" s="332">
        <v>25000</v>
      </c>
    </row>
    <row r="12" spans="2:16">
      <c r="M12" s="332">
        <v>250000</v>
      </c>
    </row>
    <row r="13" spans="2:16">
      <c r="M13" s="332">
        <v>-500000</v>
      </c>
    </row>
    <row r="14" spans="2:16">
      <c r="B14" s="19" t="s">
        <v>57</v>
      </c>
      <c r="D14" t="s">
        <v>58</v>
      </c>
      <c r="F14" s="447" t="s">
        <v>87</v>
      </c>
      <c r="G14" s="20" t="s">
        <v>88</v>
      </c>
      <c r="H14" s="20" t="s">
        <v>89</v>
      </c>
      <c r="M14" s="332">
        <v>-175000</v>
      </c>
    </row>
    <row r="15" spans="2:16" ht="15" customHeight="1">
      <c r="B15" s="19">
        <v>42004</v>
      </c>
      <c r="D15" s="55" t="s">
        <v>564</v>
      </c>
      <c r="F15" s="369">
        <v>50000</v>
      </c>
      <c r="H15" s="21">
        <f>F15-G15</f>
        <v>50000</v>
      </c>
      <c r="M15" s="332">
        <v>600000</v>
      </c>
    </row>
    <row r="16" spans="2:16" ht="15" customHeight="1">
      <c r="B16" s="19">
        <v>42039</v>
      </c>
      <c r="D16" s="55" t="s">
        <v>606</v>
      </c>
      <c r="F16" s="369">
        <v>50000</v>
      </c>
      <c r="H16" s="21">
        <f>H15+F16-G16</f>
        <v>100000</v>
      </c>
      <c r="M16" s="332">
        <v>100000</v>
      </c>
    </row>
    <row r="17" spans="2:13" ht="15" customHeight="1">
      <c r="B17" s="19">
        <v>42156</v>
      </c>
      <c r="D17" s="55" t="s">
        <v>633</v>
      </c>
      <c r="F17" s="369">
        <v>50000</v>
      </c>
      <c r="H17" s="21">
        <f>H16+F17-G17</f>
        <v>150000</v>
      </c>
      <c r="M17" s="332">
        <v>50000</v>
      </c>
    </row>
    <row r="18" spans="2:13" ht="15" customHeight="1">
      <c r="B18" s="19">
        <v>42213</v>
      </c>
      <c r="D18" s="55" t="s">
        <v>649</v>
      </c>
      <c r="F18" s="369">
        <v>50000</v>
      </c>
      <c r="H18" s="21">
        <f>H17+F18-G18</f>
        <v>200000</v>
      </c>
      <c r="M18" s="332">
        <v>400000</v>
      </c>
    </row>
    <row r="19" spans="2:13" ht="15" customHeight="1">
      <c r="B19" s="19">
        <v>42335</v>
      </c>
      <c r="D19" s="55" t="s">
        <v>669</v>
      </c>
      <c r="F19" s="369">
        <v>50000</v>
      </c>
      <c r="H19" s="21">
        <f t="shared" ref="H19:H32" si="0">H18+F19-G19</f>
        <v>250000</v>
      </c>
    </row>
    <row r="20" spans="2:13" ht="15" customHeight="1">
      <c r="B20" s="337">
        <v>42369</v>
      </c>
      <c r="D20" t="s">
        <v>393</v>
      </c>
      <c r="F20" s="369">
        <v>9728.8340377070363</v>
      </c>
      <c r="H20" s="21">
        <f t="shared" si="0"/>
        <v>259728.83403770704</v>
      </c>
    </row>
    <row r="21" spans="2:13" ht="15" customHeight="1">
      <c r="B21" s="302">
        <v>42395</v>
      </c>
      <c r="D21" s="55" t="s">
        <v>286</v>
      </c>
      <c r="F21" s="369">
        <v>50000</v>
      </c>
      <c r="H21" s="21">
        <f t="shared" si="0"/>
        <v>309728.83403770707</v>
      </c>
    </row>
    <row r="22" spans="2:13" ht="15" customHeight="1">
      <c r="B22" s="337">
        <v>42478</v>
      </c>
      <c r="D22" s="55" t="s">
        <v>286</v>
      </c>
      <c r="F22" s="369">
        <v>50000</v>
      </c>
      <c r="H22" s="21">
        <f t="shared" si="0"/>
        <v>359728.83403770707</v>
      </c>
    </row>
    <row r="23" spans="2:13" ht="15" customHeight="1">
      <c r="B23" s="337">
        <v>42534</v>
      </c>
      <c r="D23" s="55" t="s">
        <v>286</v>
      </c>
      <c r="F23" s="369">
        <v>50000</v>
      </c>
      <c r="H23" s="21">
        <f t="shared" si="0"/>
        <v>409728.83403770707</v>
      </c>
    </row>
    <row r="24" spans="2:13" ht="15" customHeight="1">
      <c r="B24" s="351">
        <v>42604</v>
      </c>
      <c r="C24" s="352" t="s">
        <v>705</v>
      </c>
      <c r="D24" s="325"/>
      <c r="E24" s="325"/>
      <c r="F24" s="350">
        <v>25000</v>
      </c>
      <c r="H24" s="21">
        <f t="shared" si="0"/>
        <v>434728.83403770707</v>
      </c>
    </row>
    <row r="25" spans="2:13" ht="15" customHeight="1">
      <c r="B25" s="337">
        <v>42735</v>
      </c>
      <c r="D25" t="s">
        <v>393</v>
      </c>
      <c r="E25" s="325"/>
      <c r="F25" s="369">
        <v>21262.433963963074</v>
      </c>
      <c r="H25" s="21">
        <f t="shared" si="0"/>
        <v>455991.26800167013</v>
      </c>
    </row>
    <row r="26" spans="2:13" ht="15" customHeight="1">
      <c r="B26" s="19">
        <v>42996</v>
      </c>
      <c r="C26" s="55" t="s">
        <v>286</v>
      </c>
      <c r="D26" s="105" t="s">
        <v>784</v>
      </c>
      <c r="E26" s="351"/>
      <c r="F26" s="350">
        <v>250000</v>
      </c>
      <c r="H26" s="21">
        <f t="shared" si="0"/>
        <v>705991.26800167013</v>
      </c>
    </row>
    <row r="27" spans="2:13" ht="15" customHeight="1">
      <c r="B27" s="336">
        <v>42917</v>
      </c>
      <c r="C27" t="s">
        <v>803</v>
      </c>
      <c r="F27" s="21">
        <v>500000</v>
      </c>
      <c r="G27" s="21">
        <v>500000</v>
      </c>
      <c r="H27" s="21">
        <f t="shared" si="0"/>
        <v>705991.26800167002</v>
      </c>
    </row>
    <row r="28" spans="2:13" ht="15" customHeight="1">
      <c r="B28" s="336">
        <v>42917</v>
      </c>
      <c r="C28" t="s">
        <v>804</v>
      </c>
      <c r="F28" s="21"/>
      <c r="G28" s="21">
        <v>200000</v>
      </c>
      <c r="H28" s="21">
        <f t="shared" si="0"/>
        <v>505991.26800167002</v>
      </c>
    </row>
    <row r="29" spans="2:13" ht="15" customHeight="1">
      <c r="B29" s="337">
        <v>43477</v>
      </c>
      <c r="D29" s="55" t="s">
        <v>953</v>
      </c>
      <c r="F29" s="369">
        <v>600000</v>
      </c>
      <c r="H29" s="21">
        <f t="shared" si="0"/>
        <v>1105991.26800167</v>
      </c>
    </row>
    <row r="30" spans="2:13" ht="15" customHeight="1">
      <c r="B30" s="337">
        <v>43536</v>
      </c>
      <c r="D30" s="55" t="s">
        <v>954</v>
      </c>
      <c r="F30" s="369">
        <v>100000</v>
      </c>
      <c r="H30" s="21">
        <f t="shared" si="0"/>
        <v>1205991.26800167</v>
      </c>
    </row>
    <row r="31" spans="2:13" ht="15" customHeight="1">
      <c r="B31" s="337">
        <v>43727</v>
      </c>
      <c r="D31" s="55" t="s">
        <v>993</v>
      </c>
      <c r="F31" s="369">
        <v>50000</v>
      </c>
      <c r="H31" s="21">
        <f t="shared" si="0"/>
        <v>1255991.26800167</v>
      </c>
    </row>
    <row r="32" spans="2:13" ht="15" customHeight="1">
      <c r="B32" s="337">
        <v>43801</v>
      </c>
      <c r="D32" s="55" t="s">
        <v>993</v>
      </c>
      <c r="E32" s="55" t="s">
        <v>1088</v>
      </c>
      <c r="F32" s="369">
        <v>400000</v>
      </c>
      <c r="H32" s="21">
        <f t="shared" si="0"/>
        <v>1655991.26800167</v>
      </c>
    </row>
    <row r="33" spans="2:16" ht="15" customHeight="1">
      <c r="B33"/>
    </row>
    <row r="34" spans="2:16" ht="15" customHeight="1">
      <c r="B34"/>
    </row>
    <row r="35" spans="2:16" ht="15" customHeight="1">
      <c r="B35"/>
    </row>
    <row r="36" spans="2:16">
      <c r="B36"/>
      <c r="F36" s="342"/>
      <c r="G36"/>
      <c r="H36"/>
      <c r="L36"/>
      <c r="M36" s="333"/>
      <c r="N36"/>
      <c r="O36"/>
      <c r="P36"/>
    </row>
    <row r="37" spans="2:16">
      <c r="B37"/>
      <c r="F37" s="342"/>
      <c r="G37"/>
      <c r="H37"/>
      <c r="L37"/>
      <c r="M37" s="333"/>
      <c r="N37"/>
      <c r="O37"/>
      <c r="P37"/>
    </row>
    <row r="38" spans="2:16">
      <c r="B38"/>
      <c r="F38" s="342"/>
      <c r="G38"/>
      <c r="H38"/>
      <c r="L38"/>
      <c r="M38" s="333"/>
      <c r="N38"/>
      <c r="O38"/>
      <c r="P38"/>
    </row>
    <row r="39" spans="2:16">
      <c r="B39"/>
      <c r="F39" s="342"/>
      <c r="G39"/>
      <c r="H39"/>
      <c r="L39"/>
      <c r="M39" s="333"/>
      <c r="N39"/>
      <c r="O39"/>
      <c r="P39"/>
    </row>
    <row r="40" spans="2:16">
      <c r="B40"/>
      <c r="F40" s="342"/>
      <c r="G40"/>
      <c r="H40"/>
      <c r="L40"/>
      <c r="M40" s="333"/>
      <c r="N40"/>
      <c r="O40"/>
      <c r="P40"/>
    </row>
    <row r="41" spans="2:16">
      <c r="B41"/>
      <c r="F41" s="342"/>
      <c r="G41"/>
      <c r="H41"/>
      <c r="L41"/>
      <c r="M41" s="333"/>
      <c r="N41"/>
      <c r="O41"/>
      <c r="P41"/>
    </row>
    <row r="42" spans="2:16">
      <c r="B42"/>
      <c r="F42" s="342"/>
      <c r="G42"/>
      <c r="H42"/>
      <c r="L42"/>
      <c r="M42" s="333"/>
      <c r="N42"/>
      <c r="O42"/>
      <c r="P42"/>
    </row>
    <row r="43" spans="2:16">
      <c r="B43"/>
      <c r="F43" s="342"/>
      <c r="G43"/>
      <c r="H43"/>
      <c r="L43"/>
      <c r="M43" s="333"/>
      <c r="N43"/>
      <c r="O43"/>
      <c r="P43"/>
    </row>
    <row r="44" spans="2:16">
      <c r="B44"/>
      <c r="F44" s="342"/>
      <c r="G44"/>
      <c r="H44"/>
      <c r="L44"/>
      <c r="M44" s="333"/>
      <c r="N44"/>
      <c r="O44"/>
      <c r="P44"/>
    </row>
    <row r="45" spans="2:16">
      <c r="B45"/>
      <c r="F45" s="342"/>
      <c r="G45"/>
      <c r="H45"/>
      <c r="L45"/>
      <c r="M45" s="333"/>
      <c r="N45"/>
      <c r="O45"/>
      <c r="P45"/>
    </row>
    <row r="46" spans="2:16">
      <c r="B46"/>
      <c r="F46" s="342"/>
      <c r="G46"/>
      <c r="H46"/>
      <c r="L46"/>
      <c r="M46" s="333"/>
      <c r="N46"/>
      <c r="O46"/>
      <c r="P46"/>
    </row>
    <row r="47" spans="2:16">
      <c r="B47"/>
      <c r="F47" s="342"/>
      <c r="G47"/>
      <c r="H47"/>
      <c r="L47"/>
      <c r="M47" s="333"/>
      <c r="N47"/>
      <c r="O47"/>
      <c r="P47"/>
    </row>
    <row r="48" spans="2:16">
      <c r="B48"/>
      <c r="F48" s="342"/>
      <c r="G48"/>
      <c r="H48"/>
      <c r="L48"/>
      <c r="M48" s="333"/>
      <c r="N48"/>
      <c r="O48"/>
      <c r="P48"/>
    </row>
    <row r="53" spans="2:16">
      <c r="B53"/>
      <c r="D53" s="76" t="s">
        <v>307</v>
      </c>
      <c r="E53" s="48"/>
      <c r="F53" s="448">
        <f>SUM(F15:F52)</f>
        <v>2355991.26800167</v>
      </c>
      <c r="G53" s="53">
        <f>SUM(G15:G52)</f>
        <v>700000</v>
      </c>
      <c r="H53" s="77">
        <f>F53-G53</f>
        <v>1655991.26800167</v>
      </c>
      <c r="L53" s="92">
        <f>SUM(L3:L11)</f>
        <v>500000</v>
      </c>
      <c r="M53" s="332">
        <f>SUM(M3:M32)</f>
        <v>1150000</v>
      </c>
      <c r="N53" s="92">
        <f>SUM(N3:N11)</f>
        <v>0</v>
      </c>
      <c r="O53" s="92">
        <f>SUM(O3:O11)</f>
        <v>5991.2680016701124</v>
      </c>
      <c r="P53" s="92">
        <f>SUM(P3:P11)</f>
        <v>0</v>
      </c>
    </row>
    <row r="54" spans="2:16">
      <c r="P54" s="92">
        <f>SUM(L53:P53)</f>
        <v>1655991.26800167</v>
      </c>
    </row>
  </sheetData>
  <mergeCells count="2">
    <mergeCell ref="L1:P1"/>
    <mergeCell ref="C6:E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F0"/>
  </sheetPr>
  <dimension ref="B1:P64"/>
  <sheetViews>
    <sheetView topLeftCell="A16" zoomScale="80" zoomScaleNormal="80" workbookViewId="0">
      <selection activeCell="M17" sqref="M17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16.8554687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601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167</v>
      </c>
      <c r="G2" s="18" t="s">
        <v>53</v>
      </c>
      <c r="H2" s="159"/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602</v>
      </c>
      <c r="G3" s="18" t="s">
        <v>61</v>
      </c>
      <c r="H3" s="292" t="s">
        <v>576</v>
      </c>
      <c r="L3" s="92">
        <f>F15</f>
        <v>500000</v>
      </c>
      <c r="M3" s="156">
        <v>25000</v>
      </c>
      <c r="N3" s="92"/>
      <c r="O3" s="92">
        <v>26915.695023764409</v>
      </c>
      <c r="P3" s="92"/>
    </row>
    <row r="4" spans="2:16">
      <c r="D4" s="55" t="s">
        <v>370</v>
      </c>
      <c r="G4" s="89" t="s">
        <v>379</v>
      </c>
      <c r="H4" s="141">
        <v>42033</v>
      </c>
      <c r="L4" s="92"/>
      <c r="M4" s="156">
        <v>50000</v>
      </c>
      <c r="N4" s="92"/>
      <c r="O4" s="92">
        <v>44112.378579519995</v>
      </c>
    </row>
    <row r="5" spans="2:16">
      <c r="G5" s="18"/>
      <c r="M5" s="156">
        <v>50000</v>
      </c>
    </row>
    <row r="6" spans="2:16">
      <c r="C6" s="686" t="s">
        <v>472</v>
      </c>
      <c r="D6" s="686"/>
      <c r="E6" s="686"/>
      <c r="G6" s="89" t="s">
        <v>381</v>
      </c>
      <c r="H6" s="142">
        <f>H4</f>
        <v>42033</v>
      </c>
      <c r="M6" s="156">
        <v>50000</v>
      </c>
    </row>
    <row r="7" spans="2:16">
      <c r="G7" s="24" t="s">
        <v>55</v>
      </c>
      <c r="M7" s="156">
        <v>50000</v>
      </c>
    </row>
    <row r="8" spans="2:16">
      <c r="G8" s="18"/>
      <c r="M8" s="156">
        <v>50000</v>
      </c>
    </row>
    <row r="9" spans="2:16">
      <c r="M9" s="156">
        <v>50000</v>
      </c>
    </row>
    <row r="10" spans="2:16">
      <c r="M10" s="156">
        <v>50000</v>
      </c>
    </row>
    <row r="11" spans="2:16">
      <c r="G11" s="18" t="s">
        <v>56</v>
      </c>
      <c r="M11" s="156">
        <v>-100000</v>
      </c>
    </row>
    <row r="12" spans="2:16">
      <c r="M12" s="156">
        <v>-100000</v>
      </c>
    </row>
    <row r="13" spans="2:16">
      <c r="M13" s="156">
        <v>50000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50000</v>
      </c>
    </row>
    <row r="15" spans="2:16" ht="15" customHeight="1">
      <c r="B15" s="19">
        <v>42033</v>
      </c>
      <c r="D15" s="55" t="s">
        <v>59</v>
      </c>
      <c r="F15" s="21">
        <v>500000</v>
      </c>
      <c r="H15" s="21">
        <f>F15-G15</f>
        <v>500000</v>
      </c>
      <c r="M15" s="156">
        <v>1200000</v>
      </c>
    </row>
    <row r="16" spans="2:16" ht="15" customHeight="1">
      <c r="D16" s="55" t="s">
        <v>603</v>
      </c>
      <c r="F16" s="21">
        <v>25000</v>
      </c>
      <c r="H16" s="21">
        <f t="shared" ref="H16:H30" si="0">H15+F16-G16</f>
        <v>525000</v>
      </c>
      <c r="M16" s="156">
        <v>100000</v>
      </c>
    </row>
    <row r="17" spans="2:8" ht="15" customHeight="1">
      <c r="B17" s="19">
        <v>42073</v>
      </c>
      <c r="D17" s="55" t="s">
        <v>599</v>
      </c>
      <c r="F17" s="21">
        <v>50000</v>
      </c>
      <c r="H17" s="21">
        <f t="shared" si="0"/>
        <v>575000</v>
      </c>
    </row>
    <row r="18" spans="2:8" ht="15" customHeight="1">
      <c r="B18" s="19">
        <v>42162</v>
      </c>
      <c r="D18" s="55" t="s">
        <v>635</v>
      </c>
      <c r="F18" s="21">
        <v>50000</v>
      </c>
      <c r="H18" s="21">
        <f t="shared" si="0"/>
        <v>625000</v>
      </c>
    </row>
    <row r="19" spans="2:8" ht="15" customHeight="1">
      <c r="B19" s="19">
        <v>42190</v>
      </c>
      <c r="D19" s="55" t="s">
        <v>641</v>
      </c>
      <c r="F19" s="21">
        <v>50000</v>
      </c>
      <c r="H19" s="21">
        <f t="shared" si="0"/>
        <v>675000</v>
      </c>
    </row>
    <row r="20" spans="2:8" ht="15" customHeight="1">
      <c r="B20" s="19">
        <v>42263</v>
      </c>
      <c r="D20" s="55" t="s">
        <v>577</v>
      </c>
      <c r="F20" s="21">
        <v>50000</v>
      </c>
      <c r="H20" s="21">
        <f t="shared" si="0"/>
        <v>725000</v>
      </c>
    </row>
    <row r="21" spans="2:8" ht="15" customHeight="1">
      <c r="B21" s="19">
        <v>42356</v>
      </c>
      <c r="D21" s="55" t="s">
        <v>678</v>
      </c>
      <c r="F21" s="21">
        <v>50000</v>
      </c>
      <c r="H21" s="21">
        <f t="shared" si="0"/>
        <v>775000</v>
      </c>
    </row>
    <row r="22" spans="2:8" ht="15" customHeight="1">
      <c r="B22" s="336">
        <v>42369</v>
      </c>
      <c r="D22" s="55" t="s">
        <v>686</v>
      </c>
      <c r="F22" s="21">
        <v>26915.695023764409</v>
      </c>
      <c r="H22" s="21">
        <f t="shared" si="0"/>
        <v>801915.69502376439</v>
      </c>
    </row>
    <row r="23" spans="2:8" ht="15" customHeight="1">
      <c r="B23" s="302">
        <v>42384</v>
      </c>
      <c r="D23" s="55" t="s">
        <v>689</v>
      </c>
      <c r="F23" s="21">
        <v>50000</v>
      </c>
      <c r="H23" s="21">
        <f t="shared" si="0"/>
        <v>851915.69502376439</v>
      </c>
    </row>
    <row r="24" spans="2:8" ht="15" customHeight="1">
      <c r="B24" s="337">
        <v>42545</v>
      </c>
      <c r="D24" s="55" t="s">
        <v>707</v>
      </c>
      <c r="F24" s="21">
        <v>50000</v>
      </c>
      <c r="H24" s="21">
        <f t="shared" si="0"/>
        <v>901915.69502376439</v>
      </c>
    </row>
    <row r="25" spans="2:8" ht="15" customHeight="1">
      <c r="B25" s="337">
        <v>42735</v>
      </c>
      <c r="D25" s="55" t="s">
        <v>726</v>
      </c>
      <c r="F25" s="21">
        <v>44112.378579519995</v>
      </c>
      <c r="H25" s="21">
        <f t="shared" si="0"/>
        <v>946028.07360328443</v>
      </c>
    </row>
    <row r="26" spans="2:8" ht="15" customHeight="1">
      <c r="B26" s="337">
        <v>42917</v>
      </c>
      <c r="D26" t="s">
        <v>762</v>
      </c>
      <c r="G26" s="21">
        <v>100000</v>
      </c>
      <c r="H26" s="21">
        <f t="shared" si="0"/>
        <v>846028.07360328443</v>
      </c>
    </row>
    <row r="27" spans="2:8" ht="15" customHeight="1">
      <c r="B27" s="337">
        <v>42917</v>
      </c>
      <c r="D27" t="s">
        <v>763</v>
      </c>
      <c r="G27" s="21">
        <v>100000</v>
      </c>
      <c r="H27" s="21">
        <f t="shared" si="0"/>
        <v>746028.07360328443</v>
      </c>
    </row>
    <row r="28" spans="2:8" ht="15" customHeight="1">
      <c r="B28" s="337">
        <v>43105</v>
      </c>
      <c r="D28" t="s">
        <v>845</v>
      </c>
      <c r="F28" s="21">
        <v>50000</v>
      </c>
      <c r="H28" s="21">
        <f t="shared" si="0"/>
        <v>796028.07360328443</v>
      </c>
    </row>
    <row r="29" spans="2:8" ht="15" customHeight="1">
      <c r="B29" s="337">
        <v>43135</v>
      </c>
      <c r="D29" t="s">
        <v>860</v>
      </c>
      <c r="F29" s="21">
        <v>50000</v>
      </c>
      <c r="H29" s="21">
        <f t="shared" si="0"/>
        <v>846028.07360328443</v>
      </c>
    </row>
    <row r="30" spans="2:8" ht="15" customHeight="1">
      <c r="B30" s="337">
        <v>43407</v>
      </c>
      <c r="D30" t="s">
        <v>1083</v>
      </c>
      <c r="F30" s="21">
        <v>1200000</v>
      </c>
      <c r="H30" s="21">
        <f t="shared" si="0"/>
        <v>2046028.0736032845</v>
      </c>
    </row>
    <row r="31" spans="2:8" ht="15" customHeight="1">
      <c r="B31" s="337">
        <v>43844</v>
      </c>
      <c r="D31" t="s">
        <v>1108</v>
      </c>
      <c r="F31" s="21">
        <v>100000</v>
      </c>
    </row>
    <row r="32" spans="2:8" ht="15" customHeight="1">
      <c r="B32" s="337"/>
    </row>
    <row r="33" spans="2:16" ht="15" customHeight="1">
      <c r="B33" s="337"/>
    </row>
    <row r="34" spans="2:16" ht="15" customHeight="1">
      <c r="B34" s="337"/>
    </row>
    <row r="35" spans="2:16" ht="15" customHeight="1">
      <c r="B35" s="337"/>
    </row>
    <row r="36" spans="2:16" ht="15" customHeight="1">
      <c r="B36" s="337"/>
    </row>
    <row r="37" spans="2:16" ht="15" customHeight="1">
      <c r="B37" s="337"/>
    </row>
    <row r="38" spans="2:16" ht="15" customHeight="1">
      <c r="B38" s="337"/>
    </row>
    <row r="39" spans="2:16" ht="15" customHeight="1">
      <c r="B39" s="337"/>
    </row>
    <row r="40" spans="2:16" ht="15" customHeight="1">
      <c r="B40" s="337"/>
    </row>
    <row r="41" spans="2:16" ht="15" customHeight="1">
      <c r="B41"/>
    </row>
    <row r="42" spans="2:16" ht="15" customHeight="1">
      <c r="B42"/>
    </row>
    <row r="43" spans="2:16" ht="15" customHeight="1">
      <c r="B43"/>
    </row>
    <row r="44" spans="2:16" ht="15" customHeight="1">
      <c r="B44"/>
    </row>
    <row r="45" spans="2:16" ht="15" customHeight="1">
      <c r="B45"/>
    </row>
    <row r="46" spans="2:16">
      <c r="B46"/>
      <c r="F46"/>
      <c r="G46"/>
      <c r="H46"/>
      <c r="L46"/>
      <c r="M46" s="291"/>
      <c r="N46"/>
      <c r="O46"/>
      <c r="P46"/>
    </row>
    <row r="47" spans="2:16">
      <c r="B47"/>
      <c r="F47"/>
      <c r="G47"/>
      <c r="H47"/>
      <c r="L47"/>
      <c r="M47" s="291"/>
      <c r="N47"/>
      <c r="O47"/>
      <c r="P47"/>
    </row>
    <row r="48" spans="2:16">
      <c r="B48"/>
      <c r="F48"/>
      <c r="G48"/>
      <c r="H48"/>
      <c r="L48"/>
      <c r="M48" s="291"/>
      <c r="N48"/>
      <c r="O48"/>
      <c r="P48"/>
    </row>
    <row r="49" spans="2:16">
      <c r="B49"/>
      <c r="F49"/>
      <c r="G49"/>
      <c r="H49"/>
      <c r="L49"/>
      <c r="M49" s="291"/>
      <c r="N49"/>
      <c r="O49"/>
      <c r="P49"/>
    </row>
    <row r="50" spans="2:16">
      <c r="B50"/>
      <c r="F50"/>
      <c r="G50"/>
      <c r="H50"/>
      <c r="L50"/>
      <c r="M50" s="291"/>
      <c r="N50"/>
      <c r="O50"/>
      <c r="P50"/>
    </row>
    <row r="51" spans="2:16">
      <c r="B51"/>
      <c r="F51"/>
      <c r="G51"/>
      <c r="H51"/>
      <c r="L51"/>
      <c r="M51" s="291"/>
      <c r="N51"/>
      <c r="O51"/>
      <c r="P51"/>
    </row>
    <row r="52" spans="2:16">
      <c r="B52"/>
      <c r="F52"/>
      <c r="G52"/>
      <c r="H52"/>
      <c r="L52"/>
      <c r="M52" s="291"/>
      <c r="N52"/>
      <c r="O52"/>
      <c r="P52"/>
    </row>
    <row r="53" spans="2:16">
      <c r="B53"/>
      <c r="F53"/>
      <c r="G53"/>
      <c r="H53"/>
      <c r="L53"/>
      <c r="M53" s="291"/>
      <c r="N53"/>
      <c r="O53"/>
      <c r="P53"/>
    </row>
    <row r="54" spans="2:16">
      <c r="B54"/>
      <c r="F54"/>
      <c r="G54"/>
      <c r="H54"/>
      <c r="L54"/>
      <c r="M54" s="291"/>
      <c r="N54"/>
      <c r="O54"/>
      <c r="P54"/>
    </row>
    <row r="55" spans="2:16">
      <c r="B55"/>
      <c r="F55"/>
      <c r="G55"/>
      <c r="H55"/>
      <c r="L55"/>
      <c r="M55" s="291"/>
      <c r="N55"/>
      <c r="O55"/>
      <c r="P55"/>
    </row>
    <row r="56" spans="2:16">
      <c r="B56"/>
      <c r="F56"/>
      <c r="G56"/>
      <c r="H56"/>
      <c r="L56"/>
      <c r="M56" s="291"/>
      <c r="N56"/>
      <c r="O56"/>
      <c r="P56"/>
    </row>
    <row r="57" spans="2:16">
      <c r="B57"/>
      <c r="F57"/>
      <c r="G57"/>
      <c r="H57"/>
      <c r="L57"/>
      <c r="M57" s="291"/>
      <c r="N57"/>
      <c r="O57"/>
      <c r="P57"/>
    </row>
    <row r="58" spans="2:16">
      <c r="B58"/>
      <c r="F58"/>
      <c r="G58"/>
      <c r="H58"/>
      <c r="L58"/>
      <c r="M58" s="291"/>
      <c r="N58"/>
      <c r="O58"/>
      <c r="P58"/>
    </row>
    <row r="63" spans="2:16">
      <c r="B63"/>
      <c r="D63" s="76" t="s">
        <v>307</v>
      </c>
      <c r="E63" s="48"/>
      <c r="F63" s="53">
        <f>SUM(F15:F62)</f>
        <v>2346028.0736032845</v>
      </c>
      <c r="G63" s="53">
        <f>SUM(G15:G62)</f>
        <v>200000</v>
      </c>
      <c r="H63" s="77">
        <f>F63-G63</f>
        <v>2146028.0736032845</v>
      </c>
      <c r="L63" s="92">
        <f>SUM(L3:L11)</f>
        <v>500000</v>
      </c>
      <c r="M63" s="156">
        <f>SUM(M3:M62)</f>
        <v>1575000</v>
      </c>
      <c r="N63" s="156">
        <f t="shared" ref="N63:P63" si="1">SUM(N3:N62)</f>
        <v>0</v>
      </c>
      <c r="O63" s="156">
        <f t="shared" si="1"/>
        <v>71028.0736032844</v>
      </c>
      <c r="P63" s="156">
        <f t="shared" si="1"/>
        <v>0</v>
      </c>
    </row>
    <row r="64" spans="2:16">
      <c r="P64" s="92">
        <f>SUM(L63:P63)</f>
        <v>2146028.0736032845</v>
      </c>
    </row>
  </sheetData>
  <mergeCells count="2">
    <mergeCell ref="L1:P1"/>
    <mergeCell ref="C6:E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F0"/>
  </sheetPr>
  <dimension ref="B1:P52"/>
  <sheetViews>
    <sheetView zoomScale="80" zoomScaleNormal="80" workbookViewId="0">
      <selection activeCell="N4" sqref="N4:N5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21.7109375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615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170</v>
      </c>
      <c r="G2" s="18" t="s">
        <v>53</v>
      </c>
      <c r="H2" s="159"/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616</v>
      </c>
      <c r="G3" s="18" t="s">
        <v>61</v>
      </c>
      <c r="H3" s="292" t="s">
        <v>618</v>
      </c>
      <c r="L3" s="21">
        <v>500000</v>
      </c>
      <c r="M3" s="156">
        <v>25000</v>
      </c>
      <c r="N3" s="92">
        <v>200000</v>
      </c>
      <c r="O3" s="92">
        <v>35400.8481470919</v>
      </c>
      <c r="P3" s="92"/>
    </row>
    <row r="4" spans="2:16">
      <c r="D4" s="55" t="s">
        <v>617</v>
      </c>
      <c r="G4" s="89" t="s">
        <v>379</v>
      </c>
      <c r="H4" s="141">
        <v>42053</v>
      </c>
      <c r="L4" s="92"/>
      <c r="M4" s="156">
        <v>50000</v>
      </c>
      <c r="N4" s="156">
        <v>-100000</v>
      </c>
      <c r="O4" s="92">
        <v>56754.796262983167</v>
      </c>
    </row>
    <row r="5" spans="2:16">
      <c r="G5" s="18"/>
      <c r="M5" s="156">
        <v>25000</v>
      </c>
      <c r="N5" s="156">
        <v>-100000</v>
      </c>
    </row>
    <row r="6" spans="2:16">
      <c r="C6" s="686" t="s">
        <v>472</v>
      </c>
      <c r="D6" s="686"/>
      <c r="E6" s="686"/>
      <c r="G6" s="89" t="s">
        <v>381</v>
      </c>
      <c r="H6" s="142">
        <f>H4</f>
        <v>42053</v>
      </c>
      <c r="M6" s="156">
        <v>50000</v>
      </c>
    </row>
    <row r="7" spans="2:16">
      <c r="G7" s="24" t="s">
        <v>55</v>
      </c>
      <c r="M7" s="156">
        <v>100000</v>
      </c>
    </row>
    <row r="8" spans="2:16">
      <c r="G8" s="18"/>
      <c r="M8" s="156">
        <v>25000</v>
      </c>
    </row>
    <row r="9" spans="2:16">
      <c r="M9" s="156">
        <v>25000</v>
      </c>
    </row>
    <row r="10" spans="2:16">
      <c r="M10" s="156">
        <v>25000</v>
      </c>
    </row>
    <row r="11" spans="2:16">
      <c r="G11" s="18" t="s">
        <v>56</v>
      </c>
      <c r="M11" s="156">
        <v>50000</v>
      </c>
    </row>
    <row r="12" spans="2:16">
      <c r="M12" s="156">
        <v>50000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42053</v>
      </c>
      <c r="D15" s="55" t="s">
        <v>614</v>
      </c>
      <c r="F15" s="21">
        <v>500000</v>
      </c>
      <c r="H15" s="21">
        <f>F15-G15</f>
        <v>500000</v>
      </c>
    </row>
    <row r="16" spans="2:16" ht="15" customHeight="1">
      <c r="B16" s="19">
        <v>42065</v>
      </c>
      <c r="D16" s="55" t="s">
        <v>286</v>
      </c>
      <c r="F16" s="21">
        <v>25000</v>
      </c>
      <c r="H16" s="21">
        <f t="shared" ref="H16:H30" si="0">H15+F16-G16</f>
        <v>525000</v>
      </c>
    </row>
    <row r="17" spans="2:8" ht="15" customHeight="1">
      <c r="B17" s="319">
        <v>42132</v>
      </c>
      <c r="C17" s="144" t="s">
        <v>631</v>
      </c>
      <c r="D17" s="145"/>
      <c r="E17" s="291"/>
      <c r="F17" s="291">
        <v>50000</v>
      </c>
      <c r="H17" s="21">
        <f t="shared" si="0"/>
        <v>575000</v>
      </c>
    </row>
    <row r="18" spans="2:8" ht="15" customHeight="1">
      <c r="B18" s="319">
        <v>42132</v>
      </c>
      <c r="C18" s="144" t="s">
        <v>632</v>
      </c>
      <c r="D18" s="145"/>
      <c r="E18" s="291"/>
      <c r="F18" s="291">
        <v>200000</v>
      </c>
      <c r="H18" s="21">
        <f t="shared" si="0"/>
        <v>775000</v>
      </c>
    </row>
    <row r="19" spans="2:8" ht="15" customHeight="1">
      <c r="B19" s="319">
        <v>42182</v>
      </c>
      <c r="D19" s="157" t="s">
        <v>491</v>
      </c>
      <c r="F19" s="21">
        <v>25000</v>
      </c>
      <c r="H19" s="21">
        <f t="shared" si="0"/>
        <v>800000</v>
      </c>
    </row>
    <row r="20" spans="2:8" ht="15" customHeight="1">
      <c r="B20" s="319">
        <v>42231</v>
      </c>
      <c r="D20" s="157" t="s">
        <v>286</v>
      </c>
      <c r="F20" s="21">
        <v>50000</v>
      </c>
      <c r="H20" s="21">
        <f t="shared" si="0"/>
        <v>850000</v>
      </c>
    </row>
    <row r="21" spans="2:8" ht="15" customHeight="1">
      <c r="B21" s="319">
        <v>42335</v>
      </c>
      <c r="D21" s="157" t="s">
        <v>671</v>
      </c>
      <c r="F21" s="21">
        <v>100000</v>
      </c>
      <c r="H21" s="21">
        <f t="shared" si="0"/>
        <v>950000</v>
      </c>
    </row>
    <row r="22" spans="2:8" ht="15" customHeight="1">
      <c r="B22" s="319">
        <v>42366</v>
      </c>
      <c r="D22" s="157" t="s">
        <v>681</v>
      </c>
      <c r="F22" s="21">
        <v>25000</v>
      </c>
      <c r="H22" s="21">
        <f t="shared" si="0"/>
        <v>975000</v>
      </c>
    </row>
    <row r="23" spans="2:8" ht="15" customHeight="1">
      <c r="B23" s="319">
        <v>43100</v>
      </c>
      <c r="D23" s="157" t="s">
        <v>686</v>
      </c>
      <c r="F23" s="21">
        <v>35400.8481470919</v>
      </c>
      <c r="H23" s="21">
        <f t="shared" si="0"/>
        <v>1010400.8481470919</v>
      </c>
    </row>
    <row r="24" spans="2:8" ht="15" customHeight="1">
      <c r="B24" s="302">
        <v>42397</v>
      </c>
      <c r="D24" s="157" t="s">
        <v>286</v>
      </c>
      <c r="F24" s="21">
        <v>25000</v>
      </c>
      <c r="H24" s="21">
        <f t="shared" si="0"/>
        <v>1035400.8481470919</v>
      </c>
    </row>
    <row r="25" spans="2:8" ht="15" customHeight="1">
      <c r="B25" s="337">
        <v>42428</v>
      </c>
      <c r="D25" s="157" t="s">
        <v>286</v>
      </c>
      <c r="F25" s="21">
        <v>25000</v>
      </c>
      <c r="H25" s="21">
        <f t="shared" si="0"/>
        <v>1060400.8481470919</v>
      </c>
    </row>
    <row r="26" spans="2:8" ht="15" customHeight="1">
      <c r="B26" s="337">
        <v>42488</v>
      </c>
      <c r="D26" s="157" t="s">
        <v>286</v>
      </c>
      <c r="F26" s="21">
        <v>50000</v>
      </c>
      <c r="H26" s="21">
        <f t="shared" si="0"/>
        <v>1110400.8481470919</v>
      </c>
    </row>
    <row r="27" spans="2:8" ht="15" customHeight="1">
      <c r="B27" s="337">
        <v>42702</v>
      </c>
      <c r="D27" s="157" t="s">
        <v>286</v>
      </c>
      <c r="F27" s="21">
        <v>50000</v>
      </c>
      <c r="H27" s="21">
        <f t="shared" si="0"/>
        <v>1160400.8481470919</v>
      </c>
    </row>
    <row r="28" spans="2:8" ht="15" customHeight="1">
      <c r="B28" s="337">
        <v>42735</v>
      </c>
      <c r="D28" s="157" t="s">
        <v>726</v>
      </c>
      <c r="F28" s="21">
        <v>56754.796262983167</v>
      </c>
      <c r="H28" s="21">
        <f t="shared" si="0"/>
        <v>1217155.6444100752</v>
      </c>
    </row>
    <row r="29" spans="2:8" ht="15" customHeight="1">
      <c r="B29" s="337">
        <v>42917</v>
      </c>
      <c r="D29" t="s">
        <v>762</v>
      </c>
      <c r="G29" s="21">
        <v>100000</v>
      </c>
      <c r="H29" s="21">
        <f t="shared" si="0"/>
        <v>1117155.6444100752</v>
      </c>
    </row>
    <row r="30" spans="2:8" ht="15" customHeight="1">
      <c r="B30" s="337">
        <v>42917</v>
      </c>
      <c r="D30" t="s">
        <v>763</v>
      </c>
      <c r="G30" s="21">
        <v>100000</v>
      </c>
      <c r="H30" s="21">
        <f t="shared" si="0"/>
        <v>1017155.6444100752</v>
      </c>
    </row>
    <row r="31" spans="2:8" ht="15" customHeight="1">
      <c r="B31"/>
    </row>
    <row r="32" spans="2:8" ht="15" customHeight="1">
      <c r="B32"/>
    </row>
    <row r="33" spans="2:16" ht="15" customHeight="1">
      <c r="B33"/>
    </row>
    <row r="34" spans="2:16">
      <c r="B34"/>
      <c r="F34"/>
      <c r="G34"/>
      <c r="H34"/>
      <c r="L34"/>
      <c r="M34" s="291"/>
      <c r="N34"/>
      <c r="O34"/>
      <c r="P34"/>
    </row>
    <row r="35" spans="2:16">
      <c r="B35"/>
      <c r="F35"/>
      <c r="G35"/>
      <c r="H35"/>
      <c r="L35"/>
      <c r="M35" s="291"/>
      <c r="N35"/>
      <c r="O35"/>
      <c r="P35"/>
    </row>
    <row r="36" spans="2:16">
      <c r="B36"/>
      <c r="F36"/>
      <c r="G36"/>
      <c r="H36"/>
      <c r="L36"/>
      <c r="M36" s="291"/>
      <c r="N36"/>
      <c r="O36"/>
      <c r="P36"/>
    </row>
    <row r="37" spans="2:16">
      <c r="B37"/>
      <c r="F37"/>
      <c r="G37"/>
      <c r="H37"/>
      <c r="L37"/>
      <c r="M37" s="291"/>
      <c r="N37"/>
      <c r="O37"/>
      <c r="P37"/>
    </row>
    <row r="38" spans="2:16">
      <c r="B38"/>
      <c r="F38"/>
      <c r="G38"/>
      <c r="H38"/>
      <c r="L38"/>
      <c r="M38" s="291"/>
      <c r="N38"/>
      <c r="O38"/>
      <c r="P38"/>
    </row>
    <row r="39" spans="2:16">
      <c r="B39"/>
      <c r="F39"/>
      <c r="G39"/>
      <c r="H39"/>
      <c r="L39"/>
      <c r="M39" s="291"/>
      <c r="N39"/>
      <c r="O39"/>
      <c r="P39"/>
    </row>
    <row r="40" spans="2:16">
      <c r="B40"/>
      <c r="F40"/>
      <c r="G40"/>
      <c r="H40"/>
      <c r="L40"/>
      <c r="M40" s="291"/>
      <c r="N40"/>
      <c r="O40"/>
      <c r="P40"/>
    </row>
    <row r="41" spans="2:16">
      <c r="B41"/>
      <c r="F41"/>
      <c r="G41"/>
      <c r="H41"/>
      <c r="L41"/>
      <c r="M41" s="291"/>
      <c r="N41"/>
      <c r="O41"/>
      <c r="P41"/>
    </row>
    <row r="42" spans="2:16">
      <c r="B42"/>
      <c r="F42"/>
      <c r="G42"/>
      <c r="H42"/>
      <c r="L42"/>
      <c r="M42" s="291"/>
      <c r="N42"/>
      <c r="O42"/>
      <c r="P42"/>
    </row>
    <row r="43" spans="2:16">
      <c r="B43"/>
      <c r="F43"/>
      <c r="G43"/>
      <c r="H43"/>
      <c r="L43"/>
      <c r="M43" s="291"/>
      <c r="N43"/>
      <c r="O43"/>
      <c r="P43"/>
    </row>
    <row r="44" spans="2:16">
      <c r="B44"/>
      <c r="F44"/>
      <c r="G44"/>
      <c r="H44"/>
      <c r="L44"/>
      <c r="M44" s="291"/>
      <c r="N44"/>
      <c r="O44"/>
      <c r="P44"/>
    </row>
    <row r="45" spans="2:16">
      <c r="B45"/>
      <c r="F45"/>
      <c r="G45"/>
      <c r="H45"/>
      <c r="L45"/>
      <c r="M45" s="291"/>
      <c r="N45"/>
      <c r="O45"/>
      <c r="P45"/>
    </row>
    <row r="46" spans="2:16">
      <c r="B46"/>
      <c r="F46"/>
      <c r="G46"/>
      <c r="H46"/>
      <c r="L46"/>
      <c r="M46" s="291"/>
      <c r="N46"/>
      <c r="O46"/>
      <c r="P46"/>
    </row>
    <row r="51" spans="2:16">
      <c r="B51"/>
      <c r="D51" s="76" t="s">
        <v>307</v>
      </c>
      <c r="E51" s="48"/>
      <c r="F51" s="53">
        <f>SUM(F15:F50)</f>
        <v>1217155.6444100752</v>
      </c>
      <c r="G51" s="53">
        <f>SUM(G15:G50)</f>
        <v>200000</v>
      </c>
      <c r="H51" s="77">
        <f>F51-G51</f>
        <v>1017155.6444100752</v>
      </c>
      <c r="L51" s="92">
        <f>SUM(L3:L11)</f>
        <v>500000</v>
      </c>
      <c r="M51" s="156">
        <f>SUM(M3:M30)</f>
        <v>425000</v>
      </c>
      <c r="N51" s="92">
        <f>SUM(N3:N11)</f>
        <v>0</v>
      </c>
      <c r="O51" s="92">
        <f>SUM(O3:O11)</f>
        <v>92155.644410075067</v>
      </c>
      <c r="P51" s="92">
        <f>SUM(P3:P11)</f>
        <v>0</v>
      </c>
    </row>
    <row r="52" spans="2:16">
      <c r="P52" s="92">
        <f>SUM(L51:P51)</f>
        <v>1017155.644410075</v>
      </c>
    </row>
  </sheetData>
  <mergeCells count="2">
    <mergeCell ref="L1:P1"/>
    <mergeCell ref="C6:E6"/>
  </mergeCells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F0"/>
  </sheetPr>
  <dimension ref="B1:P70"/>
  <sheetViews>
    <sheetView topLeftCell="A13" zoomScale="70" zoomScaleNormal="70" workbookViewId="0">
      <selection activeCell="M31" sqref="M31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4" width="14.140625" style="156" customWidth="1"/>
    <col min="15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621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172</v>
      </c>
      <c r="G2" s="18" t="s">
        <v>53</v>
      </c>
      <c r="H2" s="159"/>
      <c r="L2" s="91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/>
      <c r="G3" s="18" t="s">
        <v>61</v>
      </c>
      <c r="H3" s="292"/>
      <c r="L3" s="21">
        <v>500000</v>
      </c>
      <c r="M3" s="156">
        <v>25000</v>
      </c>
      <c r="N3" s="156">
        <v>25000</v>
      </c>
      <c r="O3" s="92">
        <v>0</v>
      </c>
      <c r="P3" s="92"/>
    </row>
    <row r="4" spans="2:16">
      <c r="D4" s="55" t="s">
        <v>620</v>
      </c>
      <c r="G4" s="89" t="s">
        <v>379</v>
      </c>
      <c r="H4" s="141">
        <v>42056</v>
      </c>
      <c r="L4" s="92"/>
      <c r="M4" s="156">
        <v>25000</v>
      </c>
      <c r="N4" s="156">
        <v>25000</v>
      </c>
      <c r="O4" s="92"/>
    </row>
    <row r="5" spans="2:16">
      <c r="G5" s="18"/>
      <c r="M5" s="322">
        <v>25000</v>
      </c>
      <c r="N5" s="322">
        <v>25000</v>
      </c>
    </row>
    <row r="6" spans="2:16">
      <c r="C6" s="686" t="s">
        <v>454</v>
      </c>
      <c r="D6" s="686"/>
      <c r="E6" s="686"/>
      <c r="G6" s="89" t="s">
        <v>381</v>
      </c>
      <c r="H6" s="142">
        <f>H4</f>
        <v>42056</v>
      </c>
      <c r="M6" s="322">
        <v>25000</v>
      </c>
      <c r="N6" s="322">
        <v>25000</v>
      </c>
    </row>
    <row r="7" spans="2:16">
      <c r="G7" s="24" t="s">
        <v>55</v>
      </c>
      <c r="M7" s="322">
        <v>25000</v>
      </c>
      <c r="N7" s="322">
        <v>25000</v>
      </c>
    </row>
    <row r="8" spans="2:16">
      <c r="G8" s="18"/>
      <c r="M8" s="322">
        <v>25000</v>
      </c>
      <c r="N8" s="322">
        <v>25000</v>
      </c>
    </row>
    <row r="9" spans="2:16">
      <c r="M9" s="156">
        <v>25000</v>
      </c>
      <c r="N9" s="156">
        <v>25000</v>
      </c>
    </row>
    <row r="10" spans="2:16">
      <c r="M10" s="156">
        <v>25000</v>
      </c>
      <c r="N10" s="156">
        <v>25000</v>
      </c>
    </row>
    <row r="11" spans="2:16">
      <c r="G11" s="18" t="s">
        <v>56</v>
      </c>
      <c r="M11" s="156">
        <v>25000</v>
      </c>
      <c r="N11" s="156">
        <v>25000</v>
      </c>
    </row>
    <row r="12" spans="2:16">
      <c r="M12" s="156">
        <v>25000</v>
      </c>
      <c r="N12" s="156">
        <v>25000</v>
      </c>
    </row>
    <row r="13" spans="2:16">
      <c r="M13" s="156">
        <v>25000</v>
      </c>
      <c r="N13" s="156">
        <v>25000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50000</v>
      </c>
      <c r="N14" s="156">
        <v>50000</v>
      </c>
    </row>
    <row r="15" spans="2:16" ht="15" customHeight="1">
      <c r="B15" s="19">
        <v>42056</v>
      </c>
      <c r="D15" s="55" t="s">
        <v>286</v>
      </c>
      <c r="F15" s="21">
        <v>25000</v>
      </c>
      <c r="H15" s="21">
        <f>F15-G15</f>
        <v>25000</v>
      </c>
      <c r="M15" s="156">
        <v>50000</v>
      </c>
      <c r="N15" s="156">
        <v>-200000</v>
      </c>
    </row>
    <row r="16" spans="2:16" ht="15" customHeight="1">
      <c r="D16" s="55" t="s">
        <v>282</v>
      </c>
      <c r="F16" s="21">
        <v>25000</v>
      </c>
      <c r="H16" s="21">
        <f t="shared" ref="H16:H55" si="0">H15+F16-G16</f>
        <v>50000</v>
      </c>
      <c r="M16" s="156">
        <v>50000</v>
      </c>
    </row>
    <row r="17" spans="2:13" ht="15" customHeight="1">
      <c r="B17" s="19">
        <v>42074</v>
      </c>
      <c r="D17" s="55" t="s">
        <v>286</v>
      </c>
      <c r="F17" s="21">
        <v>25000</v>
      </c>
      <c r="H17" s="21">
        <f t="shared" si="0"/>
        <v>75000</v>
      </c>
      <c r="M17" s="156">
        <v>50000</v>
      </c>
    </row>
    <row r="18" spans="2:13" ht="15" customHeight="1">
      <c r="D18" s="55" t="s">
        <v>282</v>
      </c>
      <c r="F18" s="21">
        <v>25000</v>
      </c>
      <c r="H18" s="21">
        <f t="shared" si="0"/>
        <v>100000</v>
      </c>
      <c r="M18" s="156">
        <v>50000</v>
      </c>
    </row>
    <row r="19" spans="2:13" ht="15" customHeight="1">
      <c r="B19" s="19">
        <v>42115</v>
      </c>
      <c r="D19" s="144" t="s">
        <v>630</v>
      </c>
      <c r="E19" s="145"/>
      <c r="F19" s="21">
        <v>25000</v>
      </c>
      <c r="H19" s="21">
        <f t="shared" si="0"/>
        <v>125000</v>
      </c>
      <c r="M19" s="156">
        <v>50000</v>
      </c>
    </row>
    <row r="20" spans="2:13" ht="15" customHeight="1">
      <c r="D20" s="144" t="s">
        <v>282</v>
      </c>
      <c r="E20" s="145"/>
      <c r="F20" s="21">
        <v>25000</v>
      </c>
      <c r="H20" s="21">
        <f t="shared" si="0"/>
        <v>150000</v>
      </c>
      <c r="M20" s="156">
        <v>50000</v>
      </c>
    </row>
    <row r="21" spans="2:13" ht="15" customHeight="1">
      <c r="B21" s="19">
        <v>42136</v>
      </c>
      <c r="D21" s="55" t="s">
        <v>286</v>
      </c>
      <c r="F21" s="21">
        <v>25000</v>
      </c>
      <c r="H21" s="21">
        <f t="shared" si="0"/>
        <v>175000</v>
      </c>
      <c r="M21" s="156">
        <v>100000</v>
      </c>
    </row>
    <row r="22" spans="2:13" ht="15" customHeight="1">
      <c r="B22"/>
      <c r="D22" s="55" t="s">
        <v>282</v>
      </c>
      <c r="F22" s="21">
        <v>25000</v>
      </c>
      <c r="H22" s="21">
        <f t="shared" si="0"/>
        <v>200000</v>
      </c>
      <c r="M22" s="156">
        <v>50000</v>
      </c>
    </row>
    <row r="23" spans="2:13" ht="15" customHeight="1">
      <c r="B23" s="19">
        <v>42181</v>
      </c>
      <c r="D23" s="55" t="s">
        <v>286</v>
      </c>
      <c r="F23" s="21">
        <v>25000</v>
      </c>
      <c r="H23" s="21">
        <f t="shared" si="0"/>
        <v>225000</v>
      </c>
      <c r="M23" s="156">
        <v>-500000</v>
      </c>
    </row>
    <row r="24" spans="2:13" ht="15" customHeight="1">
      <c r="B24"/>
      <c r="D24" s="55" t="s">
        <v>282</v>
      </c>
      <c r="F24" s="21">
        <v>25000</v>
      </c>
      <c r="H24" s="21">
        <f t="shared" si="0"/>
        <v>250000</v>
      </c>
      <c r="M24" s="156">
        <v>100000</v>
      </c>
    </row>
    <row r="25" spans="2:13" ht="15" customHeight="1">
      <c r="B25" s="19">
        <v>42190</v>
      </c>
      <c r="D25" s="55" t="s">
        <v>286</v>
      </c>
      <c r="F25" s="21">
        <v>25000</v>
      </c>
      <c r="H25" s="21">
        <f t="shared" si="0"/>
        <v>275000</v>
      </c>
      <c r="M25" s="156">
        <v>50000</v>
      </c>
    </row>
    <row r="26" spans="2:13" ht="15" customHeight="1">
      <c r="B26"/>
      <c r="D26" s="55" t="s">
        <v>282</v>
      </c>
      <c r="F26" s="21">
        <v>25000</v>
      </c>
      <c r="H26" s="21">
        <f t="shared" si="0"/>
        <v>300000</v>
      </c>
      <c r="M26" s="156">
        <v>50000</v>
      </c>
    </row>
    <row r="27" spans="2:13" ht="15" customHeight="1">
      <c r="B27" s="19">
        <v>42226</v>
      </c>
      <c r="D27" s="55" t="s">
        <v>286</v>
      </c>
      <c r="F27" s="21">
        <v>25000</v>
      </c>
      <c r="H27" s="21">
        <f t="shared" si="0"/>
        <v>325000</v>
      </c>
      <c r="M27" s="156">
        <v>50000</v>
      </c>
    </row>
    <row r="28" spans="2:13" ht="15" customHeight="1">
      <c r="B28"/>
      <c r="D28" s="55" t="s">
        <v>282</v>
      </c>
      <c r="F28" s="21">
        <v>25000</v>
      </c>
      <c r="H28" s="21">
        <f t="shared" si="0"/>
        <v>350000</v>
      </c>
      <c r="M28" s="156">
        <v>50000</v>
      </c>
    </row>
    <row r="29" spans="2:13" ht="15" customHeight="1">
      <c r="B29" s="19">
        <v>42266</v>
      </c>
      <c r="D29" s="55" t="s">
        <v>286</v>
      </c>
      <c r="F29" s="21">
        <v>25000</v>
      </c>
      <c r="H29" s="21">
        <f t="shared" si="0"/>
        <v>375000</v>
      </c>
      <c r="M29" s="156">
        <v>50000</v>
      </c>
    </row>
    <row r="30" spans="2:13" ht="15" customHeight="1">
      <c r="B30"/>
      <c r="D30" s="55" t="s">
        <v>282</v>
      </c>
      <c r="F30" s="21">
        <v>25000</v>
      </c>
      <c r="H30" s="21">
        <f t="shared" si="0"/>
        <v>400000</v>
      </c>
      <c r="M30" s="156">
        <v>50000</v>
      </c>
    </row>
    <row r="31" spans="2:13" ht="15" customHeight="1">
      <c r="B31" s="302">
        <v>42293</v>
      </c>
      <c r="D31" t="s">
        <v>286</v>
      </c>
      <c r="F31" s="21">
        <v>25000</v>
      </c>
      <c r="H31" s="21">
        <f t="shared" si="0"/>
        <v>425000</v>
      </c>
    </row>
    <row r="32" spans="2:13" ht="15" customHeight="1">
      <c r="B32"/>
      <c r="D32" t="s">
        <v>282</v>
      </c>
      <c r="F32" s="21">
        <v>25000</v>
      </c>
      <c r="H32" s="21">
        <f t="shared" si="0"/>
        <v>450000</v>
      </c>
    </row>
    <row r="33" spans="2:16" ht="15" customHeight="1">
      <c r="B33" s="319">
        <v>42349</v>
      </c>
      <c r="C33" s="324" t="s">
        <v>675</v>
      </c>
      <c r="D33" t="s">
        <v>286</v>
      </c>
      <c r="F33" s="21">
        <v>25000</v>
      </c>
      <c r="H33" s="21">
        <f t="shared" si="0"/>
        <v>475000</v>
      </c>
    </row>
    <row r="34" spans="2:16">
      <c r="B34"/>
      <c r="D34" t="s">
        <v>282</v>
      </c>
      <c r="F34" s="21">
        <v>25000</v>
      </c>
      <c r="G34"/>
      <c r="H34" s="21">
        <f t="shared" si="0"/>
        <v>500000</v>
      </c>
      <c r="L34"/>
      <c r="M34" s="291"/>
      <c r="N34" s="291"/>
      <c r="O34"/>
      <c r="P34"/>
    </row>
    <row r="35" spans="2:16">
      <c r="B35" s="302">
        <v>42369</v>
      </c>
      <c r="D35" t="s">
        <v>686</v>
      </c>
      <c r="G35"/>
      <c r="H35" s="21">
        <f t="shared" si="0"/>
        <v>500000</v>
      </c>
      <c r="L35"/>
      <c r="M35" s="291"/>
      <c r="N35" s="291"/>
      <c r="O35"/>
      <c r="P35"/>
    </row>
    <row r="36" spans="2:16">
      <c r="B36" s="302">
        <v>42379</v>
      </c>
      <c r="D36" t="s">
        <v>687</v>
      </c>
      <c r="F36" s="21">
        <v>50000</v>
      </c>
      <c r="G36"/>
      <c r="H36" s="21">
        <f t="shared" si="0"/>
        <v>550000</v>
      </c>
      <c r="L36"/>
      <c r="M36" s="291"/>
      <c r="N36" s="291"/>
      <c r="O36"/>
      <c r="P36"/>
    </row>
    <row r="37" spans="2:16">
      <c r="B37" s="337">
        <v>42436</v>
      </c>
      <c r="D37" t="s">
        <v>699</v>
      </c>
      <c r="F37" s="21">
        <v>50000</v>
      </c>
      <c r="G37"/>
      <c r="H37" s="21">
        <f t="shared" si="0"/>
        <v>600000</v>
      </c>
      <c r="L37"/>
      <c r="M37" s="291"/>
      <c r="N37" s="291"/>
      <c r="O37"/>
      <c r="P37"/>
    </row>
    <row r="38" spans="2:16">
      <c r="B38" s="337">
        <v>42506</v>
      </c>
      <c r="D38" t="s">
        <v>702</v>
      </c>
      <c r="F38" s="21">
        <v>50000</v>
      </c>
      <c r="G38"/>
      <c r="H38" s="21">
        <f t="shared" si="0"/>
        <v>650000</v>
      </c>
      <c r="L38"/>
      <c r="M38" s="291"/>
      <c r="N38" s="291"/>
      <c r="O38"/>
      <c r="P38"/>
    </row>
    <row r="39" spans="2:16">
      <c r="B39" s="337">
        <v>42506</v>
      </c>
      <c r="D39" t="s">
        <v>282</v>
      </c>
      <c r="F39" s="21">
        <v>50000</v>
      </c>
      <c r="G39"/>
      <c r="H39" s="21">
        <f t="shared" si="0"/>
        <v>700000</v>
      </c>
      <c r="L39"/>
      <c r="M39" s="291"/>
      <c r="N39" s="291"/>
      <c r="O39"/>
      <c r="P39"/>
    </row>
    <row r="40" spans="2:16">
      <c r="B40" s="351">
        <v>42661</v>
      </c>
      <c r="C40" s="352" t="s">
        <v>720</v>
      </c>
      <c r="D40" s="325"/>
      <c r="E40" s="325"/>
      <c r="F40" s="354">
        <v>50000</v>
      </c>
      <c r="G40"/>
      <c r="H40" s="21">
        <f t="shared" si="0"/>
        <v>750000</v>
      </c>
      <c r="L40"/>
      <c r="M40" s="291"/>
      <c r="N40" s="291"/>
      <c r="O40"/>
      <c r="P40"/>
    </row>
    <row r="41" spans="2:16">
      <c r="B41" s="337">
        <v>42681</v>
      </c>
      <c r="D41" s="325" t="s">
        <v>286</v>
      </c>
      <c r="F41" s="21">
        <v>50000</v>
      </c>
      <c r="G41"/>
      <c r="H41" s="21">
        <f t="shared" si="0"/>
        <v>800000</v>
      </c>
      <c r="L41"/>
      <c r="M41" s="291"/>
      <c r="N41" s="291"/>
      <c r="O41"/>
      <c r="P41"/>
    </row>
    <row r="42" spans="2:16">
      <c r="B42" s="351">
        <v>42744</v>
      </c>
      <c r="C42" s="324" t="s">
        <v>720</v>
      </c>
      <c r="D42" s="325"/>
      <c r="E42" s="326"/>
      <c r="F42" s="326">
        <v>50000</v>
      </c>
      <c r="G42"/>
      <c r="H42" s="21">
        <f t="shared" si="0"/>
        <v>850000</v>
      </c>
      <c r="L42"/>
      <c r="M42" s="291"/>
      <c r="N42" s="291"/>
      <c r="O42"/>
      <c r="P42"/>
    </row>
    <row r="43" spans="2:16">
      <c r="B43" s="337">
        <v>42805</v>
      </c>
      <c r="D43" s="325" t="s">
        <v>746</v>
      </c>
      <c r="F43" s="21">
        <v>50000</v>
      </c>
      <c r="G43"/>
      <c r="H43" s="21">
        <f t="shared" si="0"/>
        <v>900000</v>
      </c>
      <c r="L43"/>
      <c r="M43" s="291"/>
      <c r="N43" s="291"/>
      <c r="O43"/>
      <c r="P43"/>
    </row>
    <row r="44" spans="2:16">
      <c r="B44" s="337">
        <v>42858</v>
      </c>
      <c r="D44" s="325" t="s">
        <v>286</v>
      </c>
      <c r="F44" s="21">
        <v>50000</v>
      </c>
      <c r="G44"/>
      <c r="H44" s="21">
        <f t="shared" si="0"/>
        <v>950000</v>
      </c>
      <c r="L44"/>
      <c r="M44" s="291"/>
      <c r="N44" s="291"/>
      <c r="O44"/>
      <c r="P44"/>
    </row>
    <row r="45" spans="2:16">
      <c r="B45" s="19">
        <v>42996</v>
      </c>
      <c r="C45" s="55" t="s">
        <v>286</v>
      </c>
      <c r="D45" s="105" t="s">
        <v>781</v>
      </c>
      <c r="E45" s="351"/>
      <c r="F45" s="326">
        <v>100000</v>
      </c>
      <c r="G45"/>
      <c r="H45" s="21">
        <f t="shared" si="0"/>
        <v>1050000</v>
      </c>
      <c r="L45"/>
      <c r="M45" s="291"/>
      <c r="N45" s="291"/>
      <c r="O45"/>
      <c r="P45"/>
    </row>
    <row r="46" spans="2:16">
      <c r="B46" s="336">
        <v>43033</v>
      </c>
      <c r="C46" s="55"/>
      <c r="D46" s="105" t="s">
        <v>781</v>
      </c>
      <c r="E46" s="351"/>
      <c r="F46" s="326">
        <v>50000</v>
      </c>
      <c r="G46"/>
      <c r="H46" s="21">
        <f t="shared" si="0"/>
        <v>1100000</v>
      </c>
      <c r="L46"/>
      <c r="M46" s="291"/>
      <c r="N46" s="291"/>
      <c r="O46"/>
      <c r="P46"/>
    </row>
    <row r="47" spans="2:16">
      <c r="B47" s="336">
        <v>42917</v>
      </c>
      <c r="C47" s="55"/>
      <c r="D47" s="105" t="s">
        <v>805</v>
      </c>
      <c r="E47" s="351"/>
      <c r="F47" s="291">
        <v>500000</v>
      </c>
      <c r="G47" s="291">
        <v>500000</v>
      </c>
      <c r="H47" s="21">
        <f t="shared" si="0"/>
        <v>1100000</v>
      </c>
      <c r="L47"/>
      <c r="M47" s="291"/>
      <c r="N47" s="291"/>
      <c r="O47"/>
      <c r="P47"/>
    </row>
    <row r="48" spans="2:16">
      <c r="B48" s="336">
        <v>42917</v>
      </c>
      <c r="C48" s="55"/>
      <c r="D48" s="105" t="s">
        <v>806</v>
      </c>
      <c r="E48" s="351"/>
      <c r="F48" s="326"/>
      <c r="G48">
        <v>200000</v>
      </c>
      <c r="H48" s="21">
        <f t="shared" si="0"/>
        <v>900000</v>
      </c>
      <c r="L48"/>
      <c r="M48" s="291"/>
      <c r="N48" s="291"/>
      <c r="O48"/>
      <c r="P48"/>
    </row>
    <row r="49" spans="2:16">
      <c r="B49" s="336">
        <v>43082</v>
      </c>
      <c r="C49" s="55"/>
      <c r="D49" s="105" t="s">
        <v>838</v>
      </c>
      <c r="E49" s="351"/>
      <c r="F49" s="326">
        <v>100000</v>
      </c>
      <c r="G49"/>
      <c r="H49" s="21">
        <f t="shared" si="0"/>
        <v>1000000</v>
      </c>
      <c r="L49"/>
      <c r="M49" s="291"/>
      <c r="N49" s="291"/>
      <c r="O49"/>
      <c r="P49"/>
    </row>
    <row r="50" spans="2:16">
      <c r="B50" s="336">
        <v>43105</v>
      </c>
      <c r="C50" s="55"/>
      <c r="D50" s="105" t="s">
        <v>850</v>
      </c>
      <c r="E50" s="351"/>
      <c r="F50" s="326">
        <v>50000</v>
      </c>
      <c r="G50"/>
      <c r="H50" s="21">
        <f t="shared" si="0"/>
        <v>1050000</v>
      </c>
      <c r="L50"/>
      <c r="M50" s="291"/>
      <c r="N50" s="291"/>
      <c r="O50"/>
      <c r="P50"/>
    </row>
    <row r="51" spans="2:16">
      <c r="B51" s="336">
        <v>43135</v>
      </c>
      <c r="C51" s="55"/>
      <c r="D51" s="105" t="s">
        <v>857</v>
      </c>
      <c r="E51" s="351"/>
      <c r="F51" s="326">
        <v>50000</v>
      </c>
      <c r="G51"/>
      <c r="H51" s="21">
        <f t="shared" si="0"/>
        <v>1100000</v>
      </c>
      <c r="L51"/>
      <c r="M51" s="291"/>
      <c r="N51" s="291"/>
      <c r="O51"/>
      <c r="P51"/>
    </row>
    <row r="52" spans="2:16">
      <c r="B52" s="336">
        <v>43149</v>
      </c>
      <c r="C52" s="55"/>
      <c r="D52" s="105" t="s">
        <v>864</v>
      </c>
      <c r="E52" s="351"/>
      <c r="F52" s="326">
        <v>50000</v>
      </c>
      <c r="G52"/>
      <c r="H52" s="21">
        <f t="shared" si="0"/>
        <v>1150000</v>
      </c>
      <c r="L52"/>
      <c r="M52" s="291"/>
      <c r="N52" s="291"/>
      <c r="O52"/>
      <c r="P52"/>
    </row>
    <row r="53" spans="2:16">
      <c r="B53" s="336">
        <v>43273</v>
      </c>
      <c r="C53" s="55"/>
      <c r="D53" s="105" t="s">
        <v>886</v>
      </c>
      <c r="E53" s="351"/>
      <c r="F53" s="326">
        <v>50000</v>
      </c>
      <c r="G53"/>
      <c r="H53" s="21">
        <f t="shared" si="0"/>
        <v>1200000</v>
      </c>
      <c r="L53"/>
      <c r="M53" s="291"/>
      <c r="N53" s="291"/>
      <c r="O53"/>
      <c r="P53"/>
    </row>
    <row r="54" spans="2:16">
      <c r="B54" s="336">
        <v>43342</v>
      </c>
      <c r="C54" s="55"/>
      <c r="D54" s="105" t="s">
        <v>879</v>
      </c>
      <c r="E54" s="351"/>
      <c r="F54" s="326">
        <v>50000</v>
      </c>
      <c r="G54"/>
      <c r="H54" s="21">
        <f t="shared" si="0"/>
        <v>1250000</v>
      </c>
      <c r="L54"/>
      <c r="M54" s="291"/>
      <c r="N54" s="291"/>
      <c r="O54"/>
      <c r="P54"/>
    </row>
    <row r="55" spans="2:16">
      <c r="B55" s="336">
        <v>43405</v>
      </c>
      <c r="C55" s="55"/>
      <c r="D55" s="105" t="s">
        <v>920</v>
      </c>
      <c r="E55" s="351"/>
      <c r="F55" s="326">
        <v>50000</v>
      </c>
      <c r="G55"/>
      <c r="H55" s="21">
        <f t="shared" si="0"/>
        <v>1300000</v>
      </c>
      <c r="L55"/>
      <c r="M55" s="291"/>
      <c r="N55" s="291"/>
      <c r="O55"/>
      <c r="P55"/>
    </row>
    <row r="56" spans="2:16">
      <c r="B56" s="336"/>
      <c r="C56" s="55"/>
      <c r="D56" s="105"/>
      <c r="E56" s="351"/>
      <c r="F56" s="326"/>
      <c r="G56"/>
      <c r="L56"/>
      <c r="M56" s="291"/>
      <c r="N56" s="291"/>
      <c r="O56"/>
      <c r="P56"/>
    </row>
    <row r="57" spans="2:16">
      <c r="B57" s="336"/>
      <c r="C57" s="55"/>
      <c r="D57" s="105"/>
      <c r="E57" s="351"/>
      <c r="F57" s="326"/>
      <c r="G57"/>
      <c r="L57"/>
      <c r="M57" s="291"/>
      <c r="N57" s="291"/>
      <c r="O57"/>
      <c r="P57"/>
    </row>
    <row r="58" spans="2:16">
      <c r="B58" s="336"/>
      <c r="C58" s="55"/>
      <c r="D58" s="105"/>
      <c r="E58" s="351"/>
      <c r="F58" s="326"/>
      <c r="G58"/>
      <c r="L58"/>
      <c r="M58" s="291"/>
      <c r="N58" s="291"/>
      <c r="O58"/>
      <c r="P58"/>
    </row>
    <row r="59" spans="2:16">
      <c r="B59" s="336"/>
      <c r="C59" s="55"/>
      <c r="D59" s="105"/>
      <c r="E59" s="351"/>
      <c r="F59" s="326"/>
      <c r="G59"/>
      <c r="L59"/>
      <c r="M59" s="291"/>
      <c r="N59" s="291"/>
      <c r="O59"/>
      <c r="P59"/>
    </row>
    <row r="60" spans="2:16">
      <c r="B60" s="336"/>
      <c r="C60" s="55"/>
      <c r="D60" s="105"/>
      <c r="E60" s="351"/>
      <c r="F60" s="326"/>
      <c r="G60"/>
      <c r="L60"/>
      <c r="M60" s="291"/>
      <c r="N60" s="291"/>
      <c r="O60"/>
      <c r="P60"/>
    </row>
    <row r="61" spans="2:16">
      <c r="B61" s="336"/>
      <c r="C61" s="55"/>
      <c r="D61" s="105"/>
      <c r="E61" s="351"/>
      <c r="F61" s="326"/>
      <c r="G61"/>
      <c r="L61"/>
      <c r="M61" s="291"/>
      <c r="N61" s="291"/>
      <c r="O61"/>
      <c r="P61"/>
    </row>
    <row r="62" spans="2:16">
      <c r="B62" s="336"/>
      <c r="C62" s="55"/>
      <c r="D62" s="105"/>
      <c r="E62" s="351"/>
      <c r="F62" s="326"/>
      <c r="G62"/>
      <c r="L62"/>
      <c r="M62" s="291"/>
      <c r="N62" s="291"/>
      <c r="O62"/>
      <c r="P62"/>
    </row>
    <row r="63" spans="2:16">
      <c r="B63" s="336"/>
      <c r="C63" s="55"/>
      <c r="D63" s="105"/>
      <c r="E63" s="351"/>
      <c r="F63" s="326"/>
      <c r="G63"/>
      <c r="L63"/>
      <c r="M63" s="291"/>
      <c r="N63" s="291"/>
      <c r="O63"/>
      <c r="P63"/>
    </row>
    <row r="64" spans="2:16">
      <c r="B64"/>
      <c r="F64"/>
      <c r="G64"/>
      <c r="H64"/>
      <c r="L64"/>
      <c r="M64" s="291"/>
      <c r="N64" s="291"/>
      <c r="O64"/>
      <c r="P64"/>
    </row>
    <row r="69" spans="2:16">
      <c r="B69"/>
      <c r="D69" s="76" t="s">
        <v>307</v>
      </c>
      <c r="E69" s="48"/>
      <c r="F69" s="53">
        <f>SUM(F15:F68)</f>
        <v>2000000</v>
      </c>
      <c r="G69" s="53">
        <f>SUM(G15:G68)</f>
        <v>700000</v>
      </c>
      <c r="H69" s="77">
        <f>F69-G69</f>
        <v>1300000</v>
      </c>
      <c r="L69" s="92">
        <f>SUM(L3:L11)</f>
        <v>500000</v>
      </c>
      <c r="M69" s="156">
        <f>SUM(M3:M68)</f>
        <v>675000</v>
      </c>
      <c r="N69" s="156">
        <f>SUM(N3:N68)</f>
        <v>125000</v>
      </c>
      <c r="O69" s="156">
        <f t="shared" ref="O69:P69" si="1">SUM(O3:O68)</f>
        <v>0</v>
      </c>
      <c r="P69" s="156">
        <f t="shared" si="1"/>
        <v>0</v>
      </c>
    </row>
    <row r="70" spans="2:16">
      <c r="P70" s="92">
        <f>SUM(L69:P69)</f>
        <v>1300000</v>
      </c>
    </row>
  </sheetData>
  <mergeCells count="2">
    <mergeCell ref="L1:P1"/>
    <mergeCell ref="C6:E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F0"/>
  </sheetPr>
  <dimension ref="B1:P61"/>
  <sheetViews>
    <sheetView topLeftCell="A16" zoomScale="80" zoomScaleNormal="80" workbookViewId="0">
      <selection activeCell="F49" sqref="F49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322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625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175</v>
      </c>
      <c r="G2" s="18" t="s">
        <v>53</v>
      </c>
      <c r="H2" s="159"/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626</v>
      </c>
      <c r="G3" s="18" t="s">
        <v>61</v>
      </c>
      <c r="H3" s="292"/>
      <c r="L3" s="21">
        <v>500000</v>
      </c>
      <c r="M3" s="156">
        <v>25000</v>
      </c>
      <c r="N3" s="92">
        <v>150000</v>
      </c>
      <c r="O3" s="92">
        <v>5556.7886500674904</v>
      </c>
      <c r="P3" s="92"/>
    </row>
    <row r="4" spans="2:16">
      <c r="D4" s="55" t="s">
        <v>627</v>
      </c>
      <c r="G4" s="89" t="s">
        <v>379</v>
      </c>
      <c r="H4" s="141">
        <v>42115</v>
      </c>
      <c r="L4" s="92"/>
      <c r="M4" s="156">
        <v>25000</v>
      </c>
      <c r="N4" s="92"/>
      <c r="O4" s="92">
        <v>24482.056009568332</v>
      </c>
    </row>
    <row r="5" spans="2:16">
      <c r="G5" s="18"/>
      <c r="M5" s="156">
        <v>25000</v>
      </c>
      <c r="O5" s="30">
        <v>-5000</v>
      </c>
    </row>
    <row r="6" spans="2:16">
      <c r="C6" s="686" t="s">
        <v>454</v>
      </c>
      <c r="D6" s="686"/>
      <c r="E6" s="686"/>
      <c r="G6" s="89" t="s">
        <v>381</v>
      </c>
      <c r="H6" s="142">
        <f>H4</f>
        <v>42115</v>
      </c>
      <c r="M6" s="156">
        <v>25000</v>
      </c>
    </row>
    <row r="7" spans="2:16">
      <c r="G7" s="24" t="s">
        <v>55</v>
      </c>
      <c r="M7" s="156">
        <v>25000</v>
      </c>
    </row>
    <row r="8" spans="2:16">
      <c r="G8" s="18"/>
      <c r="M8" s="156">
        <v>25000</v>
      </c>
    </row>
    <row r="9" spans="2:16">
      <c r="M9" s="156">
        <v>25000</v>
      </c>
    </row>
    <row r="10" spans="2:16">
      <c r="M10" s="156">
        <v>25000</v>
      </c>
    </row>
    <row r="11" spans="2:16">
      <c r="G11" s="18" t="s">
        <v>56</v>
      </c>
      <c r="M11" s="156">
        <v>25000</v>
      </c>
    </row>
    <row r="12" spans="2:16">
      <c r="M12" s="156">
        <v>25000</v>
      </c>
    </row>
    <row r="13" spans="2:16">
      <c r="M13" s="156">
        <v>25000</v>
      </c>
    </row>
    <row r="14" spans="2:16">
      <c r="B14" s="19" t="s">
        <v>57</v>
      </c>
      <c r="D14" t="s">
        <v>58</v>
      </c>
      <c r="F14" s="424" t="s">
        <v>87</v>
      </c>
      <c r="G14" s="20" t="s">
        <v>88</v>
      </c>
      <c r="H14" s="20" t="s">
        <v>89</v>
      </c>
      <c r="M14" s="156">
        <v>25000</v>
      </c>
    </row>
    <row r="15" spans="2:16" ht="15" customHeight="1">
      <c r="B15" s="19">
        <v>42115</v>
      </c>
      <c r="D15" s="55" t="s">
        <v>286</v>
      </c>
      <c r="F15" s="322">
        <v>25000</v>
      </c>
      <c r="H15" s="21">
        <f>F15-G15</f>
        <v>25000</v>
      </c>
      <c r="M15" s="156">
        <v>25000</v>
      </c>
    </row>
    <row r="16" spans="2:16" ht="15" customHeight="1">
      <c r="B16" s="19">
        <v>42136</v>
      </c>
      <c r="D16" s="55" t="s">
        <v>286</v>
      </c>
      <c r="F16" s="322">
        <v>25000</v>
      </c>
      <c r="H16" s="21">
        <f t="shared" ref="H16:H51" si="0">H15+F16-G16</f>
        <v>50000</v>
      </c>
      <c r="M16" s="156">
        <v>50000</v>
      </c>
    </row>
    <row r="17" spans="2:13" ht="15" customHeight="1">
      <c r="B17" s="19">
        <v>42166</v>
      </c>
      <c r="D17" s="55" t="s">
        <v>286</v>
      </c>
      <c r="F17" s="322">
        <v>25000</v>
      </c>
      <c r="H17" s="21">
        <f t="shared" si="0"/>
        <v>75000</v>
      </c>
      <c r="M17" s="156">
        <v>50000</v>
      </c>
    </row>
    <row r="18" spans="2:13" ht="15" customHeight="1">
      <c r="B18" s="19">
        <v>42196</v>
      </c>
      <c r="D18" s="55" t="s">
        <v>286</v>
      </c>
      <c r="F18" s="322">
        <v>25000</v>
      </c>
      <c r="H18" s="21">
        <f t="shared" si="0"/>
        <v>100000</v>
      </c>
      <c r="M18" s="156">
        <v>50000</v>
      </c>
    </row>
    <row r="19" spans="2:13" ht="15" customHeight="1">
      <c r="B19" s="19">
        <v>42226</v>
      </c>
      <c r="D19" s="55" t="s">
        <v>286</v>
      </c>
      <c r="F19" s="322">
        <v>25000</v>
      </c>
      <c r="H19" s="21">
        <f t="shared" si="0"/>
        <v>125000</v>
      </c>
      <c r="M19" s="156">
        <v>25000</v>
      </c>
    </row>
    <row r="20" spans="2:13" ht="15" customHeight="1">
      <c r="B20" s="19">
        <v>42258</v>
      </c>
      <c r="D20" s="55" t="s">
        <v>286</v>
      </c>
      <c r="F20" s="322">
        <v>25000</v>
      </c>
      <c r="H20" s="21">
        <f t="shared" si="0"/>
        <v>150000</v>
      </c>
      <c r="M20" s="156">
        <v>100000</v>
      </c>
    </row>
    <row r="21" spans="2:13" ht="15" customHeight="1">
      <c r="B21" s="19">
        <v>42293</v>
      </c>
      <c r="D21" t="s">
        <v>659</v>
      </c>
      <c r="F21" s="291">
        <v>25000</v>
      </c>
      <c r="H21" s="21">
        <f t="shared" si="0"/>
        <v>175000</v>
      </c>
      <c r="M21" s="156">
        <v>50000</v>
      </c>
    </row>
    <row r="22" spans="2:13" ht="15" customHeight="1">
      <c r="B22" s="19">
        <v>42317</v>
      </c>
      <c r="D22" t="s">
        <v>286</v>
      </c>
      <c r="F22" s="322">
        <v>25000</v>
      </c>
      <c r="H22" s="21">
        <f t="shared" si="0"/>
        <v>200000</v>
      </c>
      <c r="M22" s="156">
        <v>50000</v>
      </c>
    </row>
    <row r="23" spans="2:13" ht="15" customHeight="1">
      <c r="B23" s="302">
        <v>42349</v>
      </c>
      <c r="C23" t="s">
        <v>659</v>
      </c>
      <c r="F23" s="291">
        <v>25000</v>
      </c>
      <c r="H23" s="21">
        <f t="shared" si="0"/>
        <v>225000</v>
      </c>
      <c r="M23" s="156">
        <v>50000</v>
      </c>
    </row>
    <row r="24" spans="2:13" ht="15" customHeight="1">
      <c r="B24" s="302">
        <v>42369</v>
      </c>
      <c r="D24" t="s">
        <v>393</v>
      </c>
      <c r="F24" s="322">
        <v>5556.7886500674904</v>
      </c>
      <c r="H24" s="21">
        <f t="shared" si="0"/>
        <v>230556.78865006749</v>
      </c>
      <c r="M24" s="156">
        <v>100000</v>
      </c>
    </row>
    <row r="25" spans="2:13" ht="15" customHeight="1">
      <c r="B25" s="302">
        <v>42379</v>
      </c>
      <c r="D25" t="s">
        <v>286</v>
      </c>
      <c r="F25" s="322">
        <v>25000</v>
      </c>
      <c r="H25" s="21">
        <f t="shared" si="0"/>
        <v>255556.78865006749</v>
      </c>
      <c r="M25" s="156">
        <v>-500000</v>
      </c>
    </row>
    <row r="26" spans="2:13" ht="15" customHeight="1">
      <c r="B26" s="302">
        <v>42407</v>
      </c>
      <c r="D26" t="s">
        <v>286</v>
      </c>
      <c r="F26" s="322">
        <v>25000</v>
      </c>
      <c r="H26" s="21">
        <f t="shared" si="0"/>
        <v>280556.78865006752</v>
      </c>
      <c r="M26" s="156">
        <v>-200000</v>
      </c>
    </row>
    <row r="27" spans="2:13" ht="15" customHeight="1">
      <c r="B27" s="337">
        <v>42436</v>
      </c>
      <c r="D27" s="55" t="s">
        <v>286</v>
      </c>
      <c r="F27" s="322">
        <v>25000</v>
      </c>
      <c r="H27" s="21">
        <f t="shared" si="0"/>
        <v>305556.78865006752</v>
      </c>
      <c r="M27" s="156">
        <v>100000</v>
      </c>
    </row>
    <row r="28" spans="2:13" ht="15" customHeight="1">
      <c r="B28" s="337">
        <v>42478</v>
      </c>
      <c r="D28" s="55" t="s">
        <v>286</v>
      </c>
      <c r="F28" s="322">
        <v>25000</v>
      </c>
      <c r="H28" s="21">
        <f t="shared" si="0"/>
        <v>330556.78865006752</v>
      </c>
      <c r="M28" s="156">
        <v>50000</v>
      </c>
    </row>
    <row r="29" spans="2:13" ht="15" customHeight="1">
      <c r="B29" s="337">
        <v>42506</v>
      </c>
      <c r="D29" s="55" t="s">
        <v>286</v>
      </c>
      <c r="F29" s="322">
        <v>50000</v>
      </c>
      <c r="H29" s="21">
        <f t="shared" si="0"/>
        <v>380556.78865006752</v>
      </c>
      <c r="M29" s="156">
        <v>50000</v>
      </c>
    </row>
    <row r="30" spans="2:13" ht="15" customHeight="1">
      <c r="B30" s="351">
        <v>42590</v>
      </c>
      <c r="C30" s="352" t="s">
        <v>659</v>
      </c>
      <c r="D30" s="325"/>
      <c r="E30" s="325"/>
      <c r="F30" s="323">
        <v>50000</v>
      </c>
      <c r="H30" s="21">
        <f t="shared" si="0"/>
        <v>430556.78865006752</v>
      </c>
      <c r="M30" s="156">
        <v>50000</v>
      </c>
    </row>
    <row r="31" spans="2:13" ht="15" customHeight="1">
      <c r="B31" s="351">
        <v>42633</v>
      </c>
      <c r="C31" s="352" t="s">
        <v>719</v>
      </c>
      <c r="D31" s="325"/>
      <c r="E31" s="325"/>
      <c r="F31" s="323">
        <v>50000</v>
      </c>
      <c r="H31" s="21">
        <f t="shared" si="0"/>
        <v>480556.78865006752</v>
      </c>
      <c r="M31" s="156">
        <v>50000</v>
      </c>
    </row>
    <row r="32" spans="2:13" ht="15" customHeight="1">
      <c r="B32" s="351">
        <v>42661</v>
      </c>
      <c r="C32" s="352" t="s">
        <v>659</v>
      </c>
      <c r="D32" s="325"/>
      <c r="E32" s="325"/>
      <c r="F32" s="425">
        <v>25000</v>
      </c>
      <c r="H32" s="21">
        <f t="shared" si="0"/>
        <v>505556.78865006752</v>
      </c>
      <c r="M32" s="156">
        <v>100000</v>
      </c>
    </row>
    <row r="33" spans="2:16" ht="15" customHeight="1">
      <c r="B33" s="337">
        <v>42735</v>
      </c>
      <c r="D33" t="s">
        <v>393</v>
      </c>
      <c r="E33" s="325"/>
      <c r="F33" s="21">
        <v>24482.056009568332</v>
      </c>
      <c r="G33" s="21">
        <v>5000</v>
      </c>
      <c r="H33" s="21">
        <f t="shared" si="0"/>
        <v>525038.8446596358</v>
      </c>
      <c r="M33" s="156">
        <v>50000</v>
      </c>
    </row>
    <row r="34" spans="2:16">
      <c r="B34" s="337">
        <v>42787</v>
      </c>
      <c r="D34" t="s">
        <v>286</v>
      </c>
      <c r="F34" s="291">
        <v>100000</v>
      </c>
      <c r="G34"/>
      <c r="H34" s="21">
        <f t="shared" si="0"/>
        <v>625038.8446596358</v>
      </c>
      <c r="L34"/>
      <c r="M34" s="291">
        <v>100000</v>
      </c>
      <c r="N34"/>
      <c r="O34"/>
      <c r="P34"/>
    </row>
    <row r="35" spans="2:16">
      <c r="B35" s="337">
        <v>42858</v>
      </c>
      <c r="D35" t="s">
        <v>286</v>
      </c>
      <c r="F35" s="291">
        <v>50000</v>
      </c>
      <c r="G35"/>
      <c r="H35" s="21">
        <f t="shared" si="0"/>
        <v>675038.8446596358</v>
      </c>
      <c r="L35"/>
      <c r="M35" s="291">
        <v>200000</v>
      </c>
      <c r="N35"/>
      <c r="O35"/>
      <c r="P35"/>
    </row>
    <row r="36" spans="2:16">
      <c r="B36" s="337">
        <v>42877</v>
      </c>
      <c r="D36" t="s">
        <v>753</v>
      </c>
      <c r="F36" s="291">
        <v>50000</v>
      </c>
      <c r="G36"/>
      <c r="H36" s="21">
        <f t="shared" si="0"/>
        <v>725038.8446596358</v>
      </c>
      <c r="L36"/>
      <c r="M36" s="291">
        <v>200000</v>
      </c>
      <c r="N36"/>
      <c r="O36"/>
      <c r="P36"/>
    </row>
    <row r="37" spans="2:16">
      <c r="B37" s="337">
        <v>42923</v>
      </c>
      <c r="D37" s="55" t="s">
        <v>286</v>
      </c>
      <c r="F37" s="291">
        <v>50000</v>
      </c>
      <c r="G37"/>
      <c r="H37" s="21">
        <f t="shared" si="0"/>
        <v>775038.8446596358</v>
      </c>
      <c r="L37"/>
      <c r="M37" s="291"/>
      <c r="N37"/>
      <c r="O37"/>
      <c r="P37"/>
    </row>
    <row r="38" spans="2:16">
      <c r="B38" s="337">
        <v>43017</v>
      </c>
      <c r="D38" s="55" t="s">
        <v>286</v>
      </c>
      <c r="F38" s="291">
        <v>100000</v>
      </c>
      <c r="G38"/>
      <c r="H38" s="21">
        <f t="shared" si="0"/>
        <v>875038.8446596358</v>
      </c>
      <c r="L38"/>
      <c r="M38" s="291"/>
      <c r="N38"/>
      <c r="O38"/>
      <c r="P38"/>
    </row>
    <row r="39" spans="2:16">
      <c r="B39" s="336">
        <v>42917</v>
      </c>
      <c r="C39" t="s">
        <v>803</v>
      </c>
      <c r="F39" s="21">
        <v>500000</v>
      </c>
      <c r="G39" s="21">
        <v>500000</v>
      </c>
      <c r="H39" s="21">
        <f t="shared" si="0"/>
        <v>875038.8446596358</v>
      </c>
      <c r="L39"/>
      <c r="M39" s="291"/>
      <c r="N39"/>
      <c r="O39"/>
      <c r="P39"/>
    </row>
    <row r="40" spans="2:16">
      <c r="B40" s="336">
        <v>42917</v>
      </c>
      <c r="C40" t="s">
        <v>804</v>
      </c>
      <c r="F40" s="21"/>
      <c r="G40" s="21">
        <v>200000</v>
      </c>
      <c r="H40" s="21">
        <f t="shared" si="0"/>
        <v>675038.8446596358</v>
      </c>
      <c r="L40"/>
      <c r="M40" s="291"/>
      <c r="N40"/>
      <c r="O40"/>
      <c r="P40"/>
    </row>
    <row r="41" spans="2:16">
      <c r="B41" s="337">
        <v>43065</v>
      </c>
      <c r="D41" t="s">
        <v>832</v>
      </c>
      <c r="F41" s="291">
        <v>100000</v>
      </c>
      <c r="G41"/>
      <c r="H41" s="21">
        <f t="shared" si="0"/>
        <v>775038.8446596358</v>
      </c>
      <c r="L41"/>
      <c r="M41" s="291"/>
      <c r="N41"/>
      <c r="O41"/>
      <c r="P41"/>
    </row>
    <row r="42" spans="2:16">
      <c r="B42" s="337">
        <v>43114</v>
      </c>
      <c r="D42" t="s">
        <v>851</v>
      </c>
      <c r="F42" s="291">
        <v>50000</v>
      </c>
      <c r="G42"/>
      <c r="H42" s="21">
        <f t="shared" si="0"/>
        <v>825038.8446596358</v>
      </c>
      <c r="L42"/>
      <c r="M42" s="291"/>
      <c r="N42"/>
      <c r="O42"/>
      <c r="P42"/>
    </row>
    <row r="43" spans="2:16">
      <c r="B43" s="337">
        <v>43135</v>
      </c>
      <c r="D43" t="s">
        <v>857</v>
      </c>
      <c r="F43" s="291">
        <v>50000</v>
      </c>
      <c r="G43"/>
      <c r="H43" s="21">
        <f t="shared" si="0"/>
        <v>875038.8446596358</v>
      </c>
      <c r="L43"/>
      <c r="M43" s="291"/>
      <c r="N43"/>
      <c r="O43"/>
      <c r="P43"/>
    </row>
    <row r="44" spans="2:16">
      <c r="B44" s="337">
        <v>43149</v>
      </c>
      <c r="D44" t="s">
        <v>862</v>
      </c>
      <c r="F44" s="291">
        <v>50000</v>
      </c>
      <c r="G44"/>
      <c r="H44" s="21">
        <f t="shared" si="0"/>
        <v>925038.8446596358</v>
      </c>
      <c r="L44"/>
      <c r="M44" s="291"/>
      <c r="N44"/>
      <c r="O44"/>
      <c r="P44"/>
    </row>
    <row r="45" spans="2:16">
      <c r="B45" s="337">
        <v>43191</v>
      </c>
      <c r="D45" s="55" t="s">
        <v>872</v>
      </c>
      <c r="F45" s="291">
        <v>50000</v>
      </c>
      <c r="G45"/>
      <c r="H45" s="21">
        <f t="shared" si="0"/>
        <v>975038.8446596358</v>
      </c>
      <c r="L45"/>
      <c r="M45" s="291"/>
      <c r="N45"/>
      <c r="O45"/>
      <c r="P45"/>
    </row>
    <row r="46" spans="2:16">
      <c r="B46" s="337">
        <v>43240</v>
      </c>
      <c r="D46" s="55" t="s">
        <v>877</v>
      </c>
      <c r="F46" s="291">
        <v>100000</v>
      </c>
      <c r="G46"/>
      <c r="H46" s="21">
        <f t="shared" si="0"/>
        <v>1075038.8446596358</v>
      </c>
      <c r="L46"/>
      <c r="M46" s="291"/>
      <c r="N46"/>
      <c r="O46"/>
      <c r="P46"/>
    </row>
    <row r="47" spans="2:16">
      <c r="B47" s="337">
        <v>43300</v>
      </c>
      <c r="D47" s="55" t="s">
        <v>894</v>
      </c>
      <c r="F47" s="291">
        <v>50000</v>
      </c>
      <c r="G47"/>
      <c r="H47" s="21">
        <f t="shared" si="0"/>
        <v>1125038.8446596358</v>
      </c>
      <c r="L47"/>
      <c r="M47" s="291"/>
      <c r="N47"/>
      <c r="O47"/>
      <c r="P47"/>
    </row>
    <row r="48" spans="2:16">
      <c r="B48" s="337">
        <v>43342</v>
      </c>
      <c r="D48" s="55" t="s">
        <v>905</v>
      </c>
      <c r="F48" s="291">
        <v>100000</v>
      </c>
      <c r="G48"/>
      <c r="H48" s="21">
        <f t="shared" si="0"/>
        <v>1225038.8446596358</v>
      </c>
      <c r="L48"/>
      <c r="M48" s="291"/>
      <c r="N48"/>
      <c r="O48"/>
      <c r="P48"/>
    </row>
    <row r="49" spans="2:16">
      <c r="B49" s="337">
        <v>43405</v>
      </c>
      <c r="D49" s="55" t="s">
        <v>919</v>
      </c>
      <c r="F49" s="291">
        <v>200000</v>
      </c>
      <c r="G49"/>
      <c r="H49" s="21">
        <f t="shared" si="0"/>
        <v>1425038.8446596358</v>
      </c>
      <c r="L49"/>
      <c r="M49" s="291"/>
      <c r="N49"/>
      <c r="O49"/>
      <c r="P49"/>
    </row>
    <row r="50" spans="2:16">
      <c r="B50" s="337">
        <v>43438</v>
      </c>
      <c r="D50" s="55" t="s">
        <v>282</v>
      </c>
      <c r="F50" s="291">
        <v>150000</v>
      </c>
      <c r="G50"/>
      <c r="H50" s="21">
        <f t="shared" si="0"/>
        <v>1575038.8446596358</v>
      </c>
      <c r="L50"/>
      <c r="M50" s="291"/>
      <c r="N50"/>
      <c r="O50"/>
      <c r="P50"/>
    </row>
    <row r="51" spans="2:16">
      <c r="B51" s="337">
        <v>43654</v>
      </c>
      <c r="D51" s="55" t="s">
        <v>993</v>
      </c>
      <c r="F51" s="291">
        <v>200000</v>
      </c>
      <c r="G51"/>
      <c r="H51" s="21">
        <f t="shared" si="0"/>
        <v>1775038.8446596358</v>
      </c>
      <c r="L51"/>
      <c r="M51" s="291"/>
      <c r="N51"/>
      <c r="O51"/>
      <c r="P51"/>
    </row>
    <row r="52" spans="2:16">
      <c r="B52" s="337"/>
      <c r="F52" s="291"/>
      <c r="G52"/>
      <c r="L52"/>
      <c r="M52" s="291"/>
      <c r="N52"/>
      <c r="O52"/>
      <c r="P52"/>
    </row>
    <row r="53" spans="2:16">
      <c r="B53" s="337"/>
      <c r="F53" s="291"/>
      <c r="G53"/>
      <c r="L53"/>
      <c r="M53" s="291"/>
      <c r="N53"/>
      <c r="O53"/>
      <c r="P53"/>
    </row>
    <row r="54" spans="2:16">
      <c r="B54"/>
      <c r="F54" s="291"/>
      <c r="G54"/>
      <c r="H54"/>
      <c r="L54"/>
      <c r="M54" s="291"/>
      <c r="N54"/>
      <c r="O54"/>
      <c r="P54"/>
    </row>
    <row r="55" spans="2:16">
      <c r="B55"/>
      <c r="F55" s="291"/>
      <c r="G55"/>
      <c r="H55"/>
      <c r="L55"/>
      <c r="M55" s="291"/>
      <c r="N55"/>
      <c r="O55"/>
      <c r="P55"/>
    </row>
    <row r="60" spans="2:16">
      <c r="B60"/>
      <c r="D60" s="76" t="s">
        <v>307</v>
      </c>
      <c r="E60" s="48"/>
      <c r="F60" s="426">
        <f>SUM(F15:F59)</f>
        <v>2480038.8446596358</v>
      </c>
      <c r="G60" s="53">
        <f>SUM(G15:G59)</f>
        <v>705000</v>
      </c>
      <c r="H60" s="77">
        <f>F60-G60</f>
        <v>1775038.8446596358</v>
      </c>
      <c r="L60" s="92">
        <f>SUM(L3:L11)</f>
        <v>500000</v>
      </c>
      <c r="M60" s="156">
        <f>SUM(M3:M59)</f>
        <v>1100000</v>
      </c>
      <c r="N60" s="92">
        <f>SUM(N3:N11)</f>
        <v>150000</v>
      </c>
      <c r="O60" s="92">
        <f>SUM(O3:O11)</f>
        <v>25038.844659635823</v>
      </c>
      <c r="P60" s="92">
        <f>SUM(P3:P11)</f>
        <v>0</v>
      </c>
    </row>
    <row r="61" spans="2:16">
      <c r="P61" s="92">
        <f>SUM(L60:P60)</f>
        <v>1775038.8446596358</v>
      </c>
    </row>
  </sheetData>
  <mergeCells count="2">
    <mergeCell ref="L1:P1"/>
    <mergeCell ref="C6:E6"/>
  </mergeCells>
  <pageMargins left="0.7" right="0.7" top="0.75" bottom="0.75" header="0.3" footer="0.3"/>
  <pageSetup paperSize="9" orientation="portrait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00B0F0"/>
  </sheetPr>
  <dimension ref="B1:P53"/>
  <sheetViews>
    <sheetView topLeftCell="A13" zoomScale="90" zoomScaleNormal="90" workbookViewId="0">
      <selection activeCell="M33" sqref="M33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322" customWidth="1"/>
    <col min="7" max="7" width="13.28515625" style="21" customWidth="1"/>
    <col min="8" max="8" width="16.7109375" style="322" customWidth="1"/>
    <col min="9" max="9" width="5" customWidth="1"/>
    <col min="12" max="15" width="14.140625" style="156" customWidth="1"/>
    <col min="16" max="16" width="17.140625" style="156" customWidth="1"/>
  </cols>
  <sheetData>
    <row r="1" spans="2:16">
      <c r="B1" s="19" t="s">
        <v>49</v>
      </c>
      <c r="C1" t="s">
        <v>3</v>
      </c>
      <c r="D1" s="55" t="s">
        <v>639</v>
      </c>
      <c r="G1" s="18" t="s">
        <v>60</v>
      </c>
      <c r="L1" s="687" t="s">
        <v>337</v>
      </c>
      <c r="M1" s="687"/>
      <c r="N1" s="687"/>
      <c r="O1" s="687"/>
      <c r="P1" s="687"/>
    </row>
    <row r="2" spans="2:16">
      <c r="B2" s="19" t="s">
        <v>50</v>
      </c>
      <c r="C2" t="s">
        <v>3</v>
      </c>
      <c r="D2" s="158" t="s">
        <v>177</v>
      </c>
      <c r="G2" s="18" t="s">
        <v>53</v>
      </c>
      <c r="H2" s="427"/>
      <c r="L2" s="155" t="s">
        <v>338</v>
      </c>
      <c r="M2" s="155" t="s">
        <v>339</v>
      </c>
      <c r="N2" s="155" t="s">
        <v>340</v>
      </c>
      <c r="O2" s="155" t="s">
        <v>393</v>
      </c>
      <c r="P2" s="155" t="s">
        <v>341</v>
      </c>
    </row>
    <row r="3" spans="2:16">
      <c r="B3" s="19" t="s">
        <v>11</v>
      </c>
      <c r="C3" t="s">
        <v>3</v>
      </c>
      <c r="D3" s="25" t="s">
        <v>640</v>
      </c>
      <c r="G3" s="18" t="s">
        <v>61</v>
      </c>
      <c r="H3" s="428">
        <v>8.2306766687000002E-2</v>
      </c>
      <c r="L3" s="322">
        <v>500000</v>
      </c>
      <c r="M3" s="156">
        <v>25000</v>
      </c>
      <c r="N3" s="156">
        <v>0</v>
      </c>
      <c r="O3" s="156">
        <v>12786.928427712124</v>
      </c>
    </row>
    <row r="4" spans="2:16">
      <c r="D4" s="55" t="s">
        <v>411</v>
      </c>
      <c r="G4" s="89" t="s">
        <v>379</v>
      </c>
      <c r="H4" s="429">
        <v>42115</v>
      </c>
      <c r="M4" s="156">
        <v>50000</v>
      </c>
      <c r="O4" s="156">
        <v>45866.827955176515</v>
      </c>
    </row>
    <row r="5" spans="2:16">
      <c r="G5" s="18"/>
      <c r="M5" s="156">
        <v>50000</v>
      </c>
    </row>
    <row r="6" spans="2:16">
      <c r="C6" s="686" t="s">
        <v>638</v>
      </c>
      <c r="D6" s="686"/>
      <c r="E6" s="686"/>
      <c r="G6" s="89" t="s">
        <v>381</v>
      </c>
      <c r="H6" s="322">
        <f>H4</f>
        <v>42115</v>
      </c>
      <c r="M6" s="156">
        <v>25000</v>
      </c>
    </row>
    <row r="7" spans="2:16">
      <c r="G7" s="24" t="s">
        <v>55</v>
      </c>
      <c r="M7" s="156">
        <v>25000</v>
      </c>
    </row>
    <row r="8" spans="2:16">
      <c r="G8" s="18"/>
      <c r="M8" s="156">
        <v>25000</v>
      </c>
    </row>
    <row r="9" spans="2:16">
      <c r="M9" s="156">
        <v>25000</v>
      </c>
    </row>
    <row r="10" spans="2:16">
      <c r="M10" s="156">
        <v>25000</v>
      </c>
    </row>
    <row r="11" spans="2:16">
      <c r="G11" s="18" t="s">
        <v>56</v>
      </c>
      <c r="M11" s="156">
        <v>25000</v>
      </c>
    </row>
    <row r="12" spans="2:16">
      <c r="M12" s="156">
        <v>25000</v>
      </c>
    </row>
    <row r="13" spans="2:16">
      <c r="M13" s="156">
        <v>25000</v>
      </c>
    </row>
    <row r="14" spans="2:16">
      <c r="B14" s="19" t="s">
        <v>57</v>
      </c>
      <c r="D14" t="s">
        <v>58</v>
      </c>
      <c r="F14" s="424" t="s">
        <v>87</v>
      </c>
      <c r="G14" s="20" t="s">
        <v>88</v>
      </c>
      <c r="H14" s="424" t="s">
        <v>89</v>
      </c>
      <c r="M14" s="156">
        <v>25000</v>
      </c>
    </row>
    <row r="15" spans="2:16" ht="15" customHeight="1">
      <c r="B15" s="19">
        <v>42105</v>
      </c>
      <c r="D15" s="55" t="s">
        <v>614</v>
      </c>
      <c r="F15" s="322">
        <v>500000</v>
      </c>
      <c r="H15" s="322">
        <f>F15-G15</f>
        <v>500000</v>
      </c>
      <c r="M15" s="156">
        <v>25000</v>
      </c>
    </row>
    <row r="16" spans="2:16" ht="15" customHeight="1">
      <c r="B16" s="19">
        <v>42105</v>
      </c>
      <c r="D16" s="55" t="s">
        <v>286</v>
      </c>
      <c r="F16" s="322">
        <v>25000</v>
      </c>
      <c r="H16" s="322">
        <f t="shared" ref="H16:H19" si="0">H15+F16-G16</f>
        <v>525000</v>
      </c>
      <c r="M16" s="156">
        <v>0</v>
      </c>
    </row>
    <row r="17" spans="2:13" ht="15" customHeight="1">
      <c r="B17" s="19">
        <v>42190</v>
      </c>
      <c r="D17" s="55" t="s">
        <v>642</v>
      </c>
      <c r="F17" s="322">
        <v>50000</v>
      </c>
      <c r="H17" s="322">
        <f t="shared" si="0"/>
        <v>575000</v>
      </c>
      <c r="M17" s="156">
        <v>25000</v>
      </c>
    </row>
    <row r="18" spans="2:13" ht="15" customHeight="1">
      <c r="B18" s="19">
        <v>42263</v>
      </c>
      <c r="D18" s="55" t="s">
        <v>653</v>
      </c>
      <c r="F18" s="322">
        <v>50000</v>
      </c>
      <c r="H18" s="322">
        <f t="shared" si="0"/>
        <v>625000</v>
      </c>
      <c r="M18" s="156">
        <v>25000</v>
      </c>
    </row>
    <row r="19" spans="2:13" ht="15" customHeight="1">
      <c r="B19" s="19">
        <v>42335</v>
      </c>
      <c r="D19" s="55" t="s">
        <v>670</v>
      </c>
      <c r="F19" s="322">
        <v>25000</v>
      </c>
      <c r="H19" s="322">
        <f t="shared" si="0"/>
        <v>650000</v>
      </c>
      <c r="M19" s="156">
        <v>150000</v>
      </c>
    </row>
    <row r="20" spans="2:13" ht="15" customHeight="1">
      <c r="B20" s="19">
        <v>42356</v>
      </c>
      <c r="D20" s="55" t="s">
        <v>554</v>
      </c>
      <c r="F20" s="322">
        <v>25000</v>
      </c>
      <c r="H20" s="322">
        <f>H19+F20-G20</f>
        <v>675000</v>
      </c>
      <c r="M20" s="156">
        <v>100000</v>
      </c>
    </row>
    <row r="21" spans="2:13" ht="15" customHeight="1">
      <c r="B21" s="336">
        <v>42369</v>
      </c>
      <c r="D21" s="55" t="s">
        <v>686</v>
      </c>
      <c r="F21" s="322">
        <v>12786.928427712124</v>
      </c>
      <c r="H21" s="322">
        <f t="shared" ref="H21:H46" si="1">H20+F21-G21</f>
        <v>687786.92842771218</v>
      </c>
      <c r="M21" s="156">
        <v>-100000</v>
      </c>
    </row>
    <row r="22" spans="2:13" ht="15" customHeight="1">
      <c r="B22" s="302">
        <v>42384</v>
      </c>
      <c r="D22" s="55" t="s">
        <v>690</v>
      </c>
      <c r="F22" s="322">
        <v>25000</v>
      </c>
      <c r="H22" s="322">
        <f t="shared" si="1"/>
        <v>712786.92842771218</v>
      </c>
      <c r="M22" s="156">
        <v>-100000</v>
      </c>
    </row>
    <row r="23" spans="2:13" ht="15" customHeight="1">
      <c r="B23" s="337">
        <v>42417</v>
      </c>
      <c r="D23" s="55" t="s">
        <v>286</v>
      </c>
      <c r="F23" s="322">
        <v>25000</v>
      </c>
      <c r="H23" s="322">
        <f t="shared" si="1"/>
        <v>737786.92842771218</v>
      </c>
      <c r="M23" s="156">
        <v>200000</v>
      </c>
    </row>
    <row r="24" spans="2:13" ht="15" customHeight="1">
      <c r="B24" s="337">
        <v>42445</v>
      </c>
      <c r="D24" s="55" t="s">
        <v>286</v>
      </c>
      <c r="F24" s="322">
        <v>25000</v>
      </c>
      <c r="H24" s="322">
        <f t="shared" si="1"/>
        <v>762786.92842771218</v>
      </c>
      <c r="M24" s="156">
        <v>100000</v>
      </c>
    </row>
    <row r="25" spans="2:13" ht="15" customHeight="1">
      <c r="B25" s="337">
        <v>42478</v>
      </c>
      <c r="D25" s="55" t="s">
        <v>286</v>
      </c>
      <c r="F25" s="322">
        <v>25000</v>
      </c>
      <c r="H25" s="322">
        <f t="shared" si="1"/>
        <v>787786.92842771218</v>
      </c>
      <c r="M25" s="156">
        <v>100000</v>
      </c>
    </row>
    <row r="26" spans="2:13" ht="15" customHeight="1">
      <c r="B26" s="337">
        <v>42506</v>
      </c>
      <c r="D26" s="55" t="s">
        <v>286</v>
      </c>
      <c r="F26" s="322">
        <v>25000</v>
      </c>
      <c r="H26" s="322">
        <f t="shared" si="1"/>
        <v>812786.92842771218</v>
      </c>
      <c r="M26" s="156">
        <v>50000</v>
      </c>
    </row>
    <row r="27" spans="2:13" ht="15" customHeight="1">
      <c r="B27" s="337">
        <v>42545</v>
      </c>
      <c r="D27" s="55" t="s">
        <v>286</v>
      </c>
      <c r="F27" s="322">
        <v>25000</v>
      </c>
      <c r="H27" s="322">
        <f t="shared" si="1"/>
        <v>837786.92842771218</v>
      </c>
      <c r="M27" s="156">
        <v>50000</v>
      </c>
    </row>
    <row r="28" spans="2:13" ht="15" customHeight="1">
      <c r="B28" s="337">
        <v>42584</v>
      </c>
      <c r="D28" s="55" t="s">
        <v>286</v>
      </c>
      <c r="F28" s="322">
        <v>25000</v>
      </c>
      <c r="H28" s="322">
        <f t="shared" si="1"/>
        <v>862786.92842771218</v>
      </c>
      <c r="M28" s="156">
        <v>550000</v>
      </c>
    </row>
    <row r="29" spans="2:13" ht="15" customHeight="1">
      <c r="B29" s="351">
        <v>42604</v>
      </c>
      <c r="C29" s="352" t="s">
        <v>715</v>
      </c>
      <c r="D29" s="325"/>
      <c r="E29" s="325"/>
      <c r="F29" s="323">
        <v>25000</v>
      </c>
      <c r="H29" s="322">
        <f t="shared" si="1"/>
        <v>887786.92842771218</v>
      </c>
      <c r="M29" s="156">
        <v>600000</v>
      </c>
    </row>
    <row r="30" spans="2:13" ht="15" customHeight="1">
      <c r="B30" s="351">
        <v>42661</v>
      </c>
      <c r="C30" s="352" t="s">
        <v>715</v>
      </c>
      <c r="D30" s="325"/>
      <c r="E30" s="325"/>
      <c r="F30" s="425">
        <v>25000</v>
      </c>
      <c r="H30" s="322">
        <f t="shared" si="1"/>
        <v>912786.92842771218</v>
      </c>
      <c r="M30" s="156">
        <v>50000</v>
      </c>
    </row>
    <row r="31" spans="2:13" ht="15" customHeight="1">
      <c r="B31" s="351">
        <v>42674</v>
      </c>
      <c r="C31" s="352" t="s">
        <v>715</v>
      </c>
      <c r="D31" s="325"/>
      <c r="E31" s="325"/>
      <c r="F31" s="323">
        <v>25000</v>
      </c>
      <c r="H31" s="322">
        <f t="shared" si="1"/>
        <v>937786.92842771218</v>
      </c>
      <c r="M31" s="156">
        <v>100000</v>
      </c>
    </row>
    <row r="32" spans="2:13" ht="15" customHeight="1">
      <c r="B32" s="351">
        <v>42735</v>
      </c>
      <c r="C32" s="352"/>
      <c r="D32" s="325" t="s">
        <v>726</v>
      </c>
      <c r="E32" s="325"/>
      <c r="F32" s="322">
        <v>45866.827955176515</v>
      </c>
      <c r="H32" s="322">
        <f t="shared" si="1"/>
        <v>983653.75638288865</v>
      </c>
      <c r="M32" s="156">
        <v>100000</v>
      </c>
    </row>
    <row r="33" spans="2:16" ht="15" customHeight="1">
      <c r="B33" s="337">
        <v>42835</v>
      </c>
      <c r="D33" t="s">
        <v>748</v>
      </c>
      <c r="F33" s="322">
        <v>150000</v>
      </c>
      <c r="H33" s="322">
        <f t="shared" si="1"/>
        <v>1133653.7563828886</v>
      </c>
    </row>
    <row r="34" spans="2:16">
      <c r="B34" s="337">
        <v>42898</v>
      </c>
      <c r="D34" t="s">
        <v>286</v>
      </c>
      <c r="F34" s="323">
        <v>100000</v>
      </c>
      <c r="G34"/>
      <c r="H34" s="322">
        <f t="shared" si="1"/>
        <v>1233653.7563828886</v>
      </c>
      <c r="L34" s="291"/>
      <c r="M34" s="291"/>
      <c r="N34" s="291"/>
      <c r="O34" s="291"/>
      <c r="P34" s="291"/>
    </row>
    <row r="35" spans="2:16">
      <c r="B35" s="431">
        <v>42917</v>
      </c>
      <c r="C35" s="291"/>
      <c r="D35" s="291" t="s">
        <v>762</v>
      </c>
      <c r="E35" s="291"/>
      <c r="F35" s="291"/>
      <c r="G35" s="291">
        <v>100000</v>
      </c>
      <c r="H35" s="322">
        <f t="shared" si="1"/>
        <v>1133653.7563828886</v>
      </c>
      <c r="L35" s="291"/>
      <c r="M35" s="291"/>
      <c r="N35" s="291"/>
      <c r="O35" s="291"/>
      <c r="P35" s="291"/>
    </row>
    <row r="36" spans="2:16">
      <c r="B36" s="431">
        <v>42917</v>
      </c>
      <c r="C36" s="291"/>
      <c r="D36" s="291" t="s">
        <v>763</v>
      </c>
      <c r="E36" s="291"/>
      <c r="F36" s="291"/>
      <c r="G36" s="291">
        <v>100000</v>
      </c>
      <c r="H36" s="322">
        <f t="shared" si="1"/>
        <v>1033653.7563828886</v>
      </c>
      <c r="L36" s="291"/>
      <c r="M36" s="291"/>
      <c r="N36" s="291"/>
      <c r="O36" s="291"/>
      <c r="P36" s="291"/>
    </row>
    <row r="37" spans="2:16">
      <c r="B37" s="19">
        <v>42996</v>
      </c>
      <c r="C37" s="55" t="s">
        <v>286</v>
      </c>
      <c r="D37" s="105" t="s">
        <v>783</v>
      </c>
      <c r="E37" s="351"/>
      <c r="F37" s="326">
        <v>200000</v>
      </c>
      <c r="G37"/>
      <c r="H37" s="322">
        <f t="shared" si="1"/>
        <v>1233653.7563828886</v>
      </c>
      <c r="L37" s="291"/>
      <c r="M37" s="291"/>
      <c r="N37" s="291"/>
      <c r="O37" s="291"/>
      <c r="P37" s="291"/>
    </row>
    <row r="38" spans="2:16">
      <c r="B38" s="337">
        <v>43033</v>
      </c>
      <c r="D38" t="s">
        <v>783</v>
      </c>
      <c r="F38" s="291">
        <v>100000</v>
      </c>
      <c r="G38"/>
      <c r="H38" s="322">
        <f t="shared" si="1"/>
        <v>1333653.7563828886</v>
      </c>
      <c r="L38" s="291"/>
      <c r="M38" s="291"/>
      <c r="N38" s="291"/>
      <c r="O38" s="291"/>
      <c r="P38" s="291"/>
    </row>
    <row r="39" spans="2:16">
      <c r="B39" s="337">
        <v>43105</v>
      </c>
      <c r="D39" t="s">
        <v>843</v>
      </c>
      <c r="F39" s="291">
        <v>100000</v>
      </c>
      <c r="G39"/>
      <c r="H39" s="322">
        <f t="shared" si="1"/>
        <v>1433653.7563828886</v>
      </c>
      <c r="L39" s="291"/>
      <c r="M39" s="291"/>
      <c r="N39" s="291"/>
      <c r="O39" s="291"/>
      <c r="P39" s="291"/>
    </row>
    <row r="40" spans="2:16">
      <c r="B40" s="337">
        <v>43135</v>
      </c>
      <c r="D40" t="s">
        <v>859</v>
      </c>
      <c r="F40" s="291">
        <v>50000</v>
      </c>
      <c r="G40"/>
      <c r="H40" s="322">
        <f t="shared" si="1"/>
        <v>1483653.7563828886</v>
      </c>
      <c r="L40" s="291"/>
      <c r="M40" s="291"/>
      <c r="N40" s="291"/>
      <c r="O40" s="291"/>
      <c r="P40" s="291"/>
    </row>
    <row r="41" spans="2:16">
      <c r="B41" s="337">
        <v>43191</v>
      </c>
      <c r="D41" s="55" t="s">
        <v>874</v>
      </c>
      <c r="F41" s="291">
        <v>50000</v>
      </c>
      <c r="G41"/>
      <c r="H41" s="322">
        <f t="shared" si="1"/>
        <v>1533653.7563828886</v>
      </c>
      <c r="L41" s="291"/>
      <c r="M41" s="291"/>
      <c r="N41" s="291"/>
      <c r="O41" s="291"/>
      <c r="P41" s="291"/>
    </row>
    <row r="42" spans="2:16">
      <c r="B42" s="337">
        <v>43438</v>
      </c>
      <c r="D42" s="55" t="s">
        <v>924</v>
      </c>
      <c r="F42" s="291">
        <v>550000</v>
      </c>
      <c r="G42"/>
      <c r="H42" s="322">
        <f t="shared" si="1"/>
        <v>2083653.7563828886</v>
      </c>
      <c r="L42" s="291"/>
      <c r="M42" s="291"/>
      <c r="N42" s="291"/>
      <c r="O42" s="291"/>
      <c r="P42" s="291"/>
    </row>
    <row r="43" spans="2:16">
      <c r="B43" s="337">
        <v>43778</v>
      </c>
      <c r="D43" s="55" t="s">
        <v>1114</v>
      </c>
      <c r="F43" s="291">
        <v>600000</v>
      </c>
      <c r="G43"/>
      <c r="H43" s="322">
        <f t="shared" si="1"/>
        <v>2683653.7563828886</v>
      </c>
      <c r="L43" s="291"/>
      <c r="M43" s="291"/>
      <c r="N43" s="291"/>
      <c r="O43" s="291"/>
      <c r="P43" s="291"/>
    </row>
    <row r="44" spans="2:16">
      <c r="B44" s="337">
        <v>43844</v>
      </c>
      <c r="D44" s="55" t="s">
        <v>993</v>
      </c>
      <c r="F44" s="291">
        <v>50000</v>
      </c>
      <c r="G44"/>
      <c r="H44" s="322">
        <f t="shared" si="1"/>
        <v>2733653.7563828886</v>
      </c>
      <c r="L44" s="291"/>
      <c r="M44" s="291"/>
      <c r="N44" s="291"/>
      <c r="O44" s="291"/>
      <c r="P44" s="291"/>
    </row>
    <row r="45" spans="2:16">
      <c r="B45" s="337">
        <v>43927</v>
      </c>
      <c r="D45" s="55" t="s">
        <v>993</v>
      </c>
      <c r="F45" s="291">
        <v>100000</v>
      </c>
      <c r="G45"/>
      <c r="H45" s="322">
        <f t="shared" si="1"/>
        <v>2833653.7563828886</v>
      </c>
      <c r="L45" s="291"/>
      <c r="M45" s="291"/>
      <c r="N45" s="291"/>
      <c r="O45" s="291"/>
      <c r="P45" s="291"/>
    </row>
    <row r="46" spans="2:16">
      <c r="B46" s="337">
        <v>44132</v>
      </c>
      <c r="D46" s="55" t="s">
        <v>993</v>
      </c>
      <c r="F46" s="291">
        <v>100000</v>
      </c>
      <c r="G46"/>
      <c r="H46" s="322">
        <f t="shared" si="1"/>
        <v>2933653.7563828886</v>
      </c>
      <c r="L46" s="291"/>
      <c r="M46" s="291"/>
      <c r="N46" s="291"/>
      <c r="O46" s="291"/>
      <c r="P46" s="291"/>
    </row>
    <row r="47" spans="2:16">
      <c r="B47"/>
      <c r="F47" s="291"/>
      <c r="G47"/>
      <c r="H47" s="291"/>
      <c r="L47" s="291"/>
      <c r="M47" s="291"/>
      <c r="N47" s="291"/>
      <c r="O47" s="291"/>
      <c r="P47" s="291"/>
    </row>
    <row r="52" spans="2:16">
      <c r="B52"/>
      <c r="D52" s="76" t="s">
        <v>307</v>
      </c>
      <c r="E52" s="48"/>
      <c r="F52" s="426">
        <f>SUM(F15:F51)</f>
        <v>3133653.7563828886</v>
      </c>
      <c r="G52" s="53">
        <f>SUM(G15:G51)</f>
        <v>200000</v>
      </c>
      <c r="H52" s="430">
        <f>F52-G52</f>
        <v>2933653.7563828886</v>
      </c>
      <c r="L52" s="156">
        <f>SUM(L3:L11)</f>
        <v>500000</v>
      </c>
      <c r="M52" s="156">
        <f>SUM(M3:M50)</f>
        <v>2375000</v>
      </c>
      <c r="N52" s="156">
        <f>SUM(N3:N11)</f>
        <v>0</v>
      </c>
      <c r="O52" s="156">
        <f>SUM(O3:O11)</f>
        <v>58653.756382888641</v>
      </c>
      <c r="P52" s="156">
        <f>SUM(P3:P11)</f>
        <v>0</v>
      </c>
    </row>
    <row r="53" spans="2:16">
      <c r="P53" s="156">
        <f>SUM(L52:P52)</f>
        <v>2933653.7563828886</v>
      </c>
    </row>
  </sheetData>
  <mergeCells count="2">
    <mergeCell ref="L1:P1"/>
    <mergeCell ref="C6:E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>
    <tabColor rgb="FF00B0F0"/>
  </sheetPr>
  <dimension ref="B1:P55"/>
  <sheetViews>
    <sheetView topLeftCell="A25" workbookViewId="0">
      <selection activeCell="P15" sqref="P15"/>
    </sheetView>
  </sheetViews>
  <sheetFormatPr defaultRowHeight="12.75"/>
  <cols>
    <col min="1" max="1" width="1" customWidth="1"/>
    <col min="2" max="2" width="11" style="19" customWidth="1"/>
    <col min="3" max="3" width="1.5703125" customWidth="1"/>
    <col min="5" max="5" width="17.7109375" customWidth="1"/>
    <col min="6" max="7" width="12" style="21" customWidth="1"/>
    <col min="8" max="8" width="13.7109375" style="21" customWidth="1"/>
    <col min="9" max="9" width="5" customWidth="1"/>
    <col min="12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28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67</v>
      </c>
      <c r="G2" s="18" t="s">
        <v>53</v>
      </c>
      <c r="L2" s="155" t="s">
        <v>338</v>
      </c>
      <c r="M2" s="155" t="s">
        <v>339</v>
      </c>
      <c r="N2" s="91" t="s">
        <v>340</v>
      </c>
      <c r="O2" s="91" t="s">
        <v>393</v>
      </c>
      <c r="P2" s="91" t="s">
        <v>971</v>
      </c>
    </row>
    <row r="3" spans="2:16">
      <c r="B3" s="19" t="s">
        <v>11</v>
      </c>
      <c r="C3" t="s">
        <v>3</v>
      </c>
      <c r="D3" t="s">
        <v>24</v>
      </c>
      <c r="G3" s="18" t="s">
        <v>61</v>
      </c>
      <c r="H3" s="18" t="s">
        <v>29</v>
      </c>
      <c r="L3" s="156">
        <f>F15</f>
        <v>200000</v>
      </c>
      <c r="M3" s="156">
        <f>F16</f>
        <v>20000</v>
      </c>
      <c r="N3" s="92">
        <v>0</v>
      </c>
      <c r="O3" s="92">
        <f>F18</f>
        <v>414380.81031392649</v>
      </c>
      <c r="P3" s="92">
        <v>5000000</v>
      </c>
    </row>
    <row r="4" spans="2:16">
      <c r="D4" t="s">
        <v>52</v>
      </c>
      <c r="G4" s="18" t="s">
        <v>108</v>
      </c>
      <c r="L4" s="156">
        <v>300000</v>
      </c>
      <c r="M4" s="156">
        <v>300000</v>
      </c>
      <c r="N4" s="92">
        <v>4358599.9999999302</v>
      </c>
      <c r="O4" s="92">
        <v>549454.330712519</v>
      </c>
    </row>
    <row r="5" spans="2:16">
      <c r="G5" s="18"/>
      <c r="M5" s="156">
        <v>500000</v>
      </c>
      <c r="N5" s="92">
        <v>-4000000</v>
      </c>
      <c r="O5" s="92">
        <v>316726.10538380366</v>
      </c>
    </row>
    <row r="6" spans="2:16">
      <c r="G6" s="18" t="s">
        <v>109</v>
      </c>
      <c r="M6" s="156">
        <v>1100000</v>
      </c>
      <c r="O6" s="161">
        <v>286384.23369219934</v>
      </c>
    </row>
    <row r="7" spans="2:16">
      <c r="G7" s="24" t="s">
        <v>55</v>
      </c>
      <c r="O7" s="161">
        <v>373940.9332003335</v>
      </c>
    </row>
    <row r="8" spans="2:16">
      <c r="G8" s="18"/>
      <c r="O8" s="156">
        <v>-300000</v>
      </c>
    </row>
    <row r="9" spans="2:16">
      <c r="O9" s="156">
        <v>-200000</v>
      </c>
    </row>
    <row r="10" spans="2:16">
      <c r="O10" s="161">
        <v>574789.78276378382</v>
      </c>
    </row>
    <row r="11" spans="2:16">
      <c r="G11" s="18" t="s">
        <v>56</v>
      </c>
      <c r="O11" s="161">
        <v>365972.97676690167</v>
      </c>
    </row>
    <row r="12" spans="2:16">
      <c r="O12" s="156">
        <v>-1100000</v>
      </c>
    </row>
    <row r="13" spans="2:16">
      <c r="O13" s="156">
        <v>-1000000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40661</v>
      </c>
      <c r="D15" t="s">
        <v>59</v>
      </c>
      <c r="F15" s="21">
        <v>200000</v>
      </c>
      <c r="G15" s="22"/>
      <c r="H15" s="21">
        <f>F15-G15</f>
        <v>200000</v>
      </c>
    </row>
    <row r="16" spans="2:16" ht="15" customHeight="1">
      <c r="B16" s="19">
        <v>40661</v>
      </c>
      <c r="D16" t="s">
        <v>102</v>
      </c>
      <c r="F16" s="21">
        <v>20000</v>
      </c>
      <c r="H16" s="21">
        <f>H15+F16-G16</f>
        <v>220000</v>
      </c>
    </row>
    <row r="17" spans="2:8" ht="15" customHeight="1">
      <c r="B17" s="19">
        <v>40661</v>
      </c>
      <c r="D17" t="s">
        <v>1110</v>
      </c>
      <c r="F17" s="21">
        <v>5000000</v>
      </c>
      <c r="H17" s="21">
        <f>H16+F17-G17</f>
        <v>5220000</v>
      </c>
    </row>
    <row r="18" spans="2:8" ht="15" customHeight="1">
      <c r="B18" s="19">
        <v>41274</v>
      </c>
      <c r="D18" t="s">
        <v>392</v>
      </c>
      <c r="F18" s="21">
        <v>414380.81031392649</v>
      </c>
      <c r="H18" s="21">
        <f>H17+F18-G18</f>
        <v>5634380.8103139261</v>
      </c>
    </row>
    <row r="19" spans="2:8" ht="15" customHeight="1">
      <c r="B19" s="19">
        <v>41640</v>
      </c>
      <c r="D19" t="s">
        <v>499</v>
      </c>
      <c r="F19" s="21">
        <v>549454.330712519</v>
      </c>
      <c r="H19" s="21">
        <f>H18+F19-G19</f>
        <v>6183835.1410264447</v>
      </c>
    </row>
    <row r="20" spans="2:8" ht="15" customHeight="1">
      <c r="B20" s="19">
        <v>41640</v>
      </c>
      <c r="D20" t="s">
        <v>503</v>
      </c>
      <c r="G20" s="21">
        <v>0</v>
      </c>
      <c r="H20" s="21">
        <f>H19+F20-G20</f>
        <v>6183835.1410264447</v>
      </c>
    </row>
    <row r="21" spans="2:8" ht="15" customHeight="1">
      <c r="B21" s="19">
        <v>42005</v>
      </c>
      <c r="D21" t="s">
        <v>592</v>
      </c>
      <c r="F21" s="21">
        <v>316726.10538380366</v>
      </c>
      <c r="H21" s="21">
        <f t="shared" ref="H21:H32" si="0">H20+F21-G21</f>
        <v>6500561.2464102488</v>
      </c>
    </row>
    <row r="22" spans="2:8" ht="15" customHeight="1">
      <c r="B22" s="19">
        <v>42019</v>
      </c>
      <c r="D22" t="s">
        <v>597</v>
      </c>
      <c r="F22" s="21">
        <v>4858599.9999999255</v>
      </c>
      <c r="H22" s="21">
        <f t="shared" si="0"/>
        <v>11359161.246410174</v>
      </c>
    </row>
    <row r="23" spans="2:8" ht="15" customHeight="1">
      <c r="B23" s="19">
        <v>42067</v>
      </c>
      <c r="D23" s="55" t="s">
        <v>622</v>
      </c>
      <c r="G23" s="21">
        <v>4000000</v>
      </c>
      <c r="H23" s="21">
        <f t="shared" si="0"/>
        <v>7359161.2464101743</v>
      </c>
    </row>
    <row r="24" spans="2:8" ht="15" customHeight="1">
      <c r="B24" s="19">
        <v>42369</v>
      </c>
      <c r="D24" t="s">
        <v>694</v>
      </c>
      <c r="F24" s="342">
        <v>286384.23369219934</v>
      </c>
      <c r="H24" s="21">
        <f t="shared" si="0"/>
        <v>7645545.4801023733</v>
      </c>
    </row>
    <row r="25" spans="2:8" ht="15" customHeight="1">
      <c r="B25" s="19">
        <v>42735</v>
      </c>
      <c r="D25" t="s">
        <v>732</v>
      </c>
      <c r="F25" s="369">
        <v>373940.9332003335</v>
      </c>
      <c r="H25" s="21">
        <f t="shared" si="0"/>
        <v>8019486.4133027066</v>
      </c>
    </row>
    <row r="26" spans="2:8" ht="15" customHeight="1">
      <c r="B26" s="19">
        <v>42917</v>
      </c>
      <c r="D26" t="s">
        <v>804</v>
      </c>
      <c r="G26" s="21">
        <v>200000</v>
      </c>
      <c r="H26" s="21">
        <f t="shared" si="0"/>
        <v>7819486.4133027066</v>
      </c>
    </row>
    <row r="27" spans="2:8" ht="15" customHeight="1">
      <c r="B27" s="19">
        <v>42917</v>
      </c>
      <c r="D27" t="s">
        <v>803</v>
      </c>
      <c r="F27" s="21">
        <v>300000</v>
      </c>
      <c r="G27" s="21">
        <v>300000</v>
      </c>
      <c r="H27" s="21">
        <f t="shared" si="0"/>
        <v>7819486.4133027066</v>
      </c>
    </row>
    <row r="28" spans="2:8" ht="15" customHeight="1">
      <c r="B28" s="19">
        <v>43050</v>
      </c>
      <c r="D28" t="s">
        <v>830</v>
      </c>
      <c r="F28" s="21">
        <v>300000</v>
      </c>
      <c r="H28" s="21">
        <f t="shared" si="0"/>
        <v>8119486.4133027066</v>
      </c>
    </row>
    <row r="29" spans="2:8" ht="15" customHeight="1">
      <c r="B29" s="554">
        <v>42735</v>
      </c>
      <c r="D29" t="s">
        <v>1111</v>
      </c>
      <c r="F29" s="21">
        <v>574789.78276378382</v>
      </c>
      <c r="H29" s="21">
        <f t="shared" si="0"/>
        <v>8694276.1960664913</v>
      </c>
    </row>
    <row r="30" spans="2:8" ht="15" customHeight="1">
      <c r="B30" s="554">
        <v>42735</v>
      </c>
      <c r="D30" t="s">
        <v>1112</v>
      </c>
      <c r="F30" s="21">
        <v>365972.97676690167</v>
      </c>
      <c r="H30" s="21">
        <f t="shared" si="0"/>
        <v>9060249.1728333924</v>
      </c>
    </row>
    <row r="31" spans="2:8" ht="15" customHeight="1">
      <c r="B31" s="19">
        <v>43880</v>
      </c>
      <c r="D31" t="s">
        <v>1113</v>
      </c>
      <c r="F31" s="21">
        <v>1100000</v>
      </c>
      <c r="G31" s="21">
        <v>1100000</v>
      </c>
      <c r="H31" s="21">
        <f t="shared" si="0"/>
        <v>9060249.1728333924</v>
      </c>
    </row>
    <row r="32" spans="2:8" ht="15" customHeight="1">
      <c r="B32" s="19">
        <v>43903</v>
      </c>
      <c r="D32" s="55" t="s">
        <v>1116</v>
      </c>
      <c r="G32" s="21">
        <v>1000000</v>
      </c>
      <c r="H32" s="21">
        <f t="shared" si="0"/>
        <v>8060249.1728333924</v>
      </c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14660249.172833392</v>
      </c>
      <c r="G50" s="53">
        <f>SUM(G15:G49)</f>
        <v>6600000</v>
      </c>
      <c r="H50" s="77">
        <f>F50-G50</f>
        <v>8060249.1728333924</v>
      </c>
      <c r="L50" s="156">
        <f>SUM(L3:L11)</f>
        <v>500000</v>
      </c>
      <c r="M50" s="156">
        <f>SUM(M3:M11)</f>
        <v>1920000</v>
      </c>
      <c r="N50" s="92">
        <f>SUM(N3:N11)</f>
        <v>358599.99999993015</v>
      </c>
      <c r="O50" s="92">
        <f>SUM(O3:O49)</f>
        <v>281649.17283346737</v>
      </c>
      <c r="P50" s="92">
        <f>SUM(P3:P11)</f>
        <v>5000000</v>
      </c>
    </row>
    <row r="51" spans="4:16">
      <c r="P51" s="92">
        <f>SUM(L50:P50)</f>
        <v>8060249.172833398</v>
      </c>
    </row>
    <row r="55" spans="4:16">
      <c r="E55">
        <v>574789.78276378382</v>
      </c>
      <c r="F55" s="21">
        <v>365972.97676690167</v>
      </c>
    </row>
  </sheetData>
  <mergeCells count="1">
    <mergeCell ref="L1:P1"/>
  </mergeCells>
  <phoneticPr fontId="0" type="noConversion"/>
  <pageMargins left="0" right="0.5" top="0.28000000000000003" bottom="1" header="0.26" footer="0.5"/>
  <pageSetup paperSize="9" orientation="landscape" horizontalDpi="4294967293" r:id="rId1"/>
  <headerFooter alignWithMargins="0"/>
  <legacyDrawing r:id="rId2"/>
  <oleObjects>
    <oleObject progId="CorelDRAW.Graphic.11" shapeId="12289" r:id="rId3"/>
    <oleObject progId="CorelDRAW.Graphic.11" shapeId="12290" r:id="rId4"/>
    <oleObject progId="CorelDRAW.Graphic.11" shapeId="12291" r:id="rId5"/>
  </oleObjects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00B0F0"/>
  </sheetPr>
  <dimension ref="B1:P48"/>
  <sheetViews>
    <sheetView topLeftCell="A7" zoomScale="90" zoomScaleNormal="90" workbookViewId="0">
      <selection activeCell="H16" sqref="H16:H17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664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182</v>
      </c>
      <c r="G2" s="18" t="s">
        <v>53</v>
      </c>
      <c r="H2" s="159"/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665</v>
      </c>
      <c r="G3" s="18" t="s">
        <v>61</v>
      </c>
      <c r="H3" s="292"/>
      <c r="L3" s="21">
        <v>500000</v>
      </c>
      <c r="M3" s="92">
        <v>100000</v>
      </c>
      <c r="N3" s="92">
        <v>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42317</v>
      </c>
      <c r="L4" s="161">
        <v>-100000</v>
      </c>
      <c r="M4" s="161">
        <v>-100000</v>
      </c>
      <c r="N4" s="92"/>
      <c r="O4" s="92"/>
    </row>
    <row r="5" spans="2:16">
      <c r="G5" s="18"/>
      <c r="M5" s="92"/>
    </row>
    <row r="6" spans="2:16">
      <c r="C6" s="686" t="s">
        <v>638</v>
      </c>
      <c r="D6" s="686"/>
      <c r="E6" s="686"/>
      <c r="G6" s="89" t="s">
        <v>381</v>
      </c>
      <c r="H6" s="142">
        <f>H4</f>
        <v>42317</v>
      </c>
      <c r="M6" s="92"/>
    </row>
    <row r="7" spans="2:16">
      <c r="G7" s="24" t="s">
        <v>55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42317</v>
      </c>
      <c r="D15" s="55" t="s">
        <v>614</v>
      </c>
      <c r="F15" s="21">
        <v>500000</v>
      </c>
      <c r="H15" s="21">
        <f>F15-G15</f>
        <v>500000</v>
      </c>
    </row>
    <row r="16" spans="2:16" ht="15" customHeight="1">
      <c r="B16" s="19">
        <v>42877</v>
      </c>
      <c r="D16" s="55" t="s">
        <v>286</v>
      </c>
      <c r="F16" s="21">
        <v>100000</v>
      </c>
      <c r="H16" s="21">
        <f>H15+F16-G16</f>
        <v>600000</v>
      </c>
    </row>
    <row r="17" spans="2:16" ht="15" customHeight="1">
      <c r="B17" s="336">
        <v>42917</v>
      </c>
      <c r="C17" t="s">
        <v>804</v>
      </c>
      <c r="G17" s="21">
        <v>200000</v>
      </c>
      <c r="H17" s="21">
        <f>H16+F17-G17</f>
        <v>400000</v>
      </c>
    </row>
    <row r="18" spans="2:16" ht="15" customHeight="1">
      <c r="B18"/>
    </row>
    <row r="19" spans="2:16" ht="15" customHeight="1">
      <c r="B19"/>
    </row>
    <row r="20" spans="2:16" ht="15" customHeight="1">
      <c r="B20"/>
    </row>
    <row r="21" spans="2:16" ht="15" customHeight="1">
      <c r="B21"/>
    </row>
    <row r="22" spans="2:16" ht="15" customHeight="1">
      <c r="B22"/>
    </row>
    <row r="23" spans="2:16" ht="15" customHeight="1">
      <c r="B23"/>
    </row>
    <row r="24" spans="2:16" ht="15" customHeight="1">
      <c r="B24"/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  <c r="L28" s="92">
        <f>SUM(L3:L11)</f>
        <v>400000</v>
      </c>
      <c r="M28" s="92">
        <f>SUM(M3:M11)</f>
        <v>0</v>
      </c>
      <c r="N28" s="92">
        <f>SUM(N3:N11)</f>
        <v>0</v>
      </c>
      <c r="O28" s="92">
        <f>SUM(O3:O11)</f>
        <v>0</v>
      </c>
      <c r="P28" s="92">
        <f>SUM(P3:P11)</f>
        <v>0</v>
      </c>
    </row>
    <row r="29" spans="2:16" ht="15" customHeight="1">
      <c r="B29"/>
      <c r="P29" s="92">
        <f>SUM(L28:P28)</f>
        <v>400000</v>
      </c>
    </row>
    <row r="30" spans="2:16" ht="15" customHeight="1">
      <c r="B30"/>
    </row>
    <row r="31" spans="2:16">
      <c r="B31"/>
      <c r="F31"/>
      <c r="G31"/>
      <c r="H31"/>
      <c r="L31"/>
      <c r="M31"/>
      <c r="N31"/>
      <c r="O31"/>
      <c r="P31"/>
    </row>
    <row r="32" spans="2:16">
      <c r="B32"/>
      <c r="F32"/>
      <c r="G32"/>
      <c r="H32"/>
      <c r="L32"/>
      <c r="M32"/>
      <c r="N32"/>
      <c r="O32"/>
      <c r="P32"/>
    </row>
    <row r="33" spans="2:16">
      <c r="B33"/>
      <c r="F33"/>
      <c r="G33"/>
      <c r="H33"/>
      <c r="L33"/>
      <c r="M33"/>
      <c r="N33"/>
      <c r="O33"/>
      <c r="P33"/>
    </row>
    <row r="34" spans="2:16">
      <c r="B34"/>
      <c r="F34"/>
      <c r="G34"/>
      <c r="H34"/>
      <c r="L34"/>
      <c r="M34"/>
      <c r="N34"/>
      <c r="O34"/>
      <c r="P34"/>
    </row>
    <row r="35" spans="2:16">
      <c r="B35"/>
      <c r="F35"/>
      <c r="G35"/>
      <c r="H35"/>
      <c r="L35"/>
      <c r="M35"/>
      <c r="N35"/>
      <c r="O35"/>
      <c r="P35"/>
    </row>
    <row r="36" spans="2:16">
      <c r="B36"/>
      <c r="F36"/>
      <c r="G36"/>
      <c r="H36"/>
      <c r="L36"/>
      <c r="M36"/>
      <c r="N36"/>
      <c r="O36"/>
      <c r="P36"/>
    </row>
    <row r="37" spans="2:16">
      <c r="B37"/>
      <c r="F37"/>
      <c r="G37"/>
      <c r="H37"/>
      <c r="L37"/>
      <c r="M37"/>
      <c r="N37"/>
      <c r="O37"/>
      <c r="P37"/>
    </row>
    <row r="38" spans="2:16">
      <c r="B38"/>
      <c r="F38"/>
      <c r="G38"/>
      <c r="H38"/>
      <c r="L38"/>
      <c r="M38"/>
      <c r="N38"/>
      <c r="O38"/>
      <c r="P38"/>
    </row>
    <row r="39" spans="2:16">
      <c r="B39"/>
      <c r="F39"/>
      <c r="G39"/>
      <c r="H39"/>
      <c r="L39"/>
      <c r="M39"/>
      <c r="N39"/>
      <c r="O39"/>
      <c r="P39"/>
    </row>
    <row r="40" spans="2:16">
      <c r="B40"/>
      <c r="F40"/>
      <c r="G40"/>
      <c r="H40"/>
      <c r="L40"/>
      <c r="M40"/>
      <c r="N40"/>
      <c r="O40"/>
      <c r="P40"/>
    </row>
    <row r="41" spans="2:16">
      <c r="B41"/>
      <c r="F41"/>
      <c r="G41"/>
      <c r="H41"/>
      <c r="L41"/>
      <c r="M41"/>
      <c r="N41"/>
      <c r="O41"/>
      <c r="P41"/>
    </row>
    <row r="42" spans="2:16">
      <c r="B42"/>
      <c r="F42"/>
      <c r="G42"/>
      <c r="H42"/>
      <c r="L42"/>
      <c r="M42"/>
      <c r="N42"/>
      <c r="O42"/>
      <c r="P42"/>
    </row>
    <row r="43" spans="2:16">
      <c r="B43"/>
      <c r="F43"/>
      <c r="G43"/>
      <c r="H43"/>
      <c r="L43"/>
      <c r="M43"/>
      <c r="N43"/>
      <c r="O43"/>
      <c r="P43"/>
    </row>
    <row r="48" spans="2:16">
      <c r="B48"/>
      <c r="D48" s="76" t="s">
        <v>307</v>
      </c>
      <c r="E48" s="48"/>
      <c r="F48" s="53">
        <f>SUM(F15:F47)</f>
        <v>600000</v>
      </c>
      <c r="G48" s="53">
        <f>SUM(G15:G47)</f>
        <v>200000</v>
      </c>
      <c r="H48" s="77">
        <f>F48-G48</f>
        <v>400000</v>
      </c>
      <c r="L48"/>
      <c r="M48"/>
      <c r="N48"/>
      <c r="O48"/>
      <c r="P48"/>
    </row>
  </sheetData>
  <mergeCells count="2">
    <mergeCell ref="L1:P1"/>
    <mergeCell ref="C6:E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00B0F0"/>
  </sheetPr>
  <dimension ref="B1:P48"/>
  <sheetViews>
    <sheetView topLeftCell="A7" zoomScale="90" zoomScaleNormal="90" workbookViewId="0">
      <selection activeCell="O47" sqref="O47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666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183</v>
      </c>
      <c r="G2" s="18" t="s">
        <v>53</v>
      </c>
      <c r="H2" s="159"/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665</v>
      </c>
      <c r="G3" s="18" t="s">
        <v>61</v>
      </c>
      <c r="H3" s="292"/>
      <c r="L3" s="21">
        <v>500000</v>
      </c>
      <c r="M3" s="92">
        <v>100000</v>
      </c>
      <c r="N3" s="92">
        <v>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42317</v>
      </c>
      <c r="L4" s="161">
        <v>-100000</v>
      </c>
      <c r="M4" s="161">
        <v>-100000</v>
      </c>
      <c r="N4" s="92"/>
      <c r="O4" s="92"/>
    </row>
    <row r="5" spans="2:16">
      <c r="G5" s="18"/>
      <c r="M5" s="92"/>
    </row>
    <row r="6" spans="2:16">
      <c r="C6" s="686" t="s">
        <v>638</v>
      </c>
      <c r="D6" s="686"/>
      <c r="E6" s="686"/>
      <c r="G6" s="89" t="s">
        <v>381</v>
      </c>
      <c r="H6" s="142">
        <f>H4</f>
        <v>42317</v>
      </c>
      <c r="M6" s="92"/>
    </row>
    <row r="7" spans="2:16">
      <c r="G7" s="24" t="s">
        <v>55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42317</v>
      </c>
      <c r="D15" s="55" t="s">
        <v>614</v>
      </c>
      <c r="F15" s="21">
        <v>500000</v>
      </c>
      <c r="H15" s="21">
        <f>F15-G15</f>
        <v>500000</v>
      </c>
    </row>
    <row r="16" spans="2:16" ht="15" customHeight="1">
      <c r="B16" s="336">
        <v>42877</v>
      </c>
      <c r="D16" s="55" t="s">
        <v>286</v>
      </c>
      <c r="F16" s="21">
        <v>100000</v>
      </c>
      <c r="H16" s="21">
        <f>H15+F16-G16</f>
        <v>600000</v>
      </c>
    </row>
    <row r="17" spans="2:16" ht="15" customHeight="1">
      <c r="B17" s="336">
        <v>42917</v>
      </c>
      <c r="C17" t="s">
        <v>804</v>
      </c>
      <c r="G17" s="21">
        <v>200000</v>
      </c>
      <c r="H17" s="21">
        <f>H16+F17-G17</f>
        <v>400000</v>
      </c>
    </row>
    <row r="18" spans="2:16" ht="15" customHeight="1">
      <c r="B18"/>
    </row>
    <row r="19" spans="2:16" ht="15" customHeight="1">
      <c r="B19"/>
    </row>
    <row r="20" spans="2:16" ht="15" customHeight="1">
      <c r="B20"/>
    </row>
    <row r="21" spans="2:16" ht="15" customHeight="1">
      <c r="B21"/>
    </row>
    <row r="22" spans="2:16" ht="15" customHeight="1">
      <c r="B22"/>
    </row>
    <row r="23" spans="2:16" ht="15" customHeight="1">
      <c r="B23"/>
    </row>
    <row r="24" spans="2:16" ht="15" customHeight="1">
      <c r="B24"/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  <c r="L28" s="92">
        <f>SUM(L3:L11)</f>
        <v>400000</v>
      </c>
      <c r="M28" s="92">
        <f>SUM(M3:M11)</f>
        <v>0</v>
      </c>
      <c r="N28" s="92">
        <f>SUM(N3:N11)</f>
        <v>0</v>
      </c>
      <c r="O28" s="92">
        <f>SUM(O3:O11)</f>
        <v>0</v>
      </c>
      <c r="P28" s="92">
        <f>SUM(P3:P11)</f>
        <v>0</v>
      </c>
    </row>
    <row r="29" spans="2:16" ht="15" customHeight="1">
      <c r="B29"/>
      <c r="P29" s="92">
        <f>SUM(L28:P28)</f>
        <v>400000</v>
      </c>
    </row>
    <row r="30" spans="2:16" ht="15" customHeight="1">
      <c r="B30"/>
    </row>
    <row r="31" spans="2:16">
      <c r="B31"/>
      <c r="F31"/>
      <c r="G31"/>
      <c r="H31"/>
      <c r="L31"/>
      <c r="M31"/>
      <c r="N31"/>
      <c r="O31"/>
      <c r="P31"/>
    </row>
    <row r="32" spans="2:16">
      <c r="B32"/>
      <c r="F32"/>
      <c r="G32"/>
      <c r="H32"/>
      <c r="L32"/>
      <c r="M32"/>
      <c r="N32"/>
      <c r="O32"/>
      <c r="P32"/>
    </row>
    <row r="33" spans="2:16">
      <c r="B33"/>
      <c r="F33"/>
      <c r="G33"/>
      <c r="H33"/>
      <c r="L33"/>
      <c r="M33"/>
      <c r="N33"/>
      <c r="O33"/>
      <c r="P33"/>
    </row>
    <row r="34" spans="2:16">
      <c r="B34"/>
      <c r="F34"/>
      <c r="G34"/>
      <c r="H34"/>
      <c r="L34"/>
      <c r="M34"/>
      <c r="N34"/>
      <c r="O34"/>
      <c r="P34"/>
    </row>
    <row r="35" spans="2:16">
      <c r="B35"/>
      <c r="F35"/>
      <c r="G35"/>
      <c r="H35"/>
      <c r="L35"/>
      <c r="M35"/>
      <c r="N35"/>
      <c r="O35"/>
      <c r="P35"/>
    </row>
    <row r="36" spans="2:16">
      <c r="B36"/>
      <c r="F36"/>
      <c r="G36"/>
      <c r="H36"/>
      <c r="L36"/>
      <c r="M36"/>
      <c r="N36"/>
      <c r="O36"/>
      <c r="P36"/>
    </row>
    <row r="37" spans="2:16">
      <c r="B37"/>
      <c r="F37"/>
      <c r="G37"/>
      <c r="H37"/>
      <c r="L37"/>
      <c r="M37"/>
      <c r="N37"/>
      <c r="O37"/>
      <c r="P37"/>
    </row>
    <row r="38" spans="2:16">
      <c r="B38"/>
      <c r="F38"/>
      <c r="G38"/>
      <c r="H38"/>
      <c r="L38"/>
      <c r="M38"/>
      <c r="N38"/>
      <c r="O38"/>
      <c r="P38"/>
    </row>
    <row r="39" spans="2:16">
      <c r="B39"/>
      <c r="F39"/>
      <c r="G39"/>
      <c r="H39"/>
      <c r="L39"/>
      <c r="M39"/>
      <c r="N39"/>
      <c r="O39"/>
      <c r="P39"/>
    </row>
    <row r="40" spans="2:16">
      <c r="B40"/>
      <c r="F40"/>
      <c r="G40"/>
      <c r="H40"/>
      <c r="L40"/>
      <c r="M40"/>
      <c r="N40"/>
      <c r="O40"/>
      <c r="P40"/>
    </row>
    <row r="41" spans="2:16">
      <c r="B41"/>
      <c r="F41"/>
      <c r="G41"/>
      <c r="H41"/>
      <c r="L41"/>
      <c r="M41"/>
      <c r="N41"/>
      <c r="O41"/>
      <c r="P41"/>
    </row>
    <row r="42" spans="2:16">
      <c r="B42"/>
      <c r="F42"/>
      <c r="G42"/>
      <c r="H42"/>
      <c r="L42"/>
      <c r="M42"/>
      <c r="N42"/>
      <c r="O42"/>
      <c r="P42"/>
    </row>
    <row r="43" spans="2:16">
      <c r="B43"/>
      <c r="F43"/>
      <c r="G43"/>
      <c r="H43"/>
      <c r="L43"/>
      <c r="M43"/>
      <c r="N43"/>
      <c r="O43"/>
      <c r="P43"/>
    </row>
    <row r="48" spans="2:16">
      <c r="B48"/>
      <c r="D48" s="76" t="s">
        <v>307</v>
      </c>
      <c r="E48" s="48"/>
      <c r="F48" s="53">
        <f>SUM(F15:F47)</f>
        <v>600000</v>
      </c>
      <c r="G48" s="53">
        <f>SUM(G15:G47)</f>
        <v>200000</v>
      </c>
      <c r="H48" s="77">
        <f>F48-G48</f>
        <v>400000</v>
      </c>
      <c r="L48"/>
      <c r="M48"/>
      <c r="N48"/>
      <c r="O48"/>
      <c r="P48"/>
    </row>
  </sheetData>
  <mergeCells count="2">
    <mergeCell ref="L1:P1"/>
    <mergeCell ref="C6:E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00B0F0"/>
  </sheetPr>
  <dimension ref="B1:P49"/>
  <sheetViews>
    <sheetView zoomScale="60" zoomScaleNormal="60" workbookViewId="0">
      <selection activeCell="B21" sqref="B21:G21"/>
    </sheetView>
  </sheetViews>
  <sheetFormatPr defaultRowHeight="12.75"/>
  <cols>
    <col min="1" max="1" width="0.7109375" customWidth="1"/>
    <col min="2" max="2" width="11.28515625" style="336" customWidth="1"/>
    <col min="3" max="3" width="1.5703125" customWidth="1"/>
    <col min="5" max="5" width="8.140625" customWidth="1"/>
    <col min="6" max="6" width="14" style="322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4" width="14.140625" style="156" customWidth="1"/>
    <col min="15" max="15" width="14.140625" style="30" customWidth="1"/>
    <col min="16" max="16" width="17.140625" style="30" customWidth="1"/>
  </cols>
  <sheetData>
    <row r="1" spans="2:16">
      <c r="B1" s="336" t="s">
        <v>49</v>
      </c>
      <c r="C1" t="s">
        <v>3</v>
      </c>
      <c r="D1" s="55" t="s">
        <v>742</v>
      </c>
      <c r="E1" s="55"/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336" t="s">
        <v>50</v>
      </c>
      <c r="C2" t="s">
        <v>3</v>
      </c>
      <c r="D2" s="158" t="s">
        <v>189</v>
      </c>
      <c r="G2" s="18" t="s">
        <v>53</v>
      </c>
      <c r="H2" s="159"/>
      <c r="L2" s="91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>
      <c r="B3" s="336" t="s">
        <v>11</v>
      </c>
      <c r="C3" t="s">
        <v>3</v>
      </c>
      <c r="D3" s="25" t="s">
        <v>743</v>
      </c>
      <c r="G3" s="18" t="s">
        <v>61</v>
      </c>
      <c r="H3" s="292"/>
      <c r="L3" s="21">
        <v>500000</v>
      </c>
      <c r="M3" s="156">
        <v>50000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42787</v>
      </c>
      <c r="L4" s="92"/>
      <c r="M4" s="156">
        <v>50000</v>
      </c>
      <c r="O4" s="92"/>
    </row>
    <row r="5" spans="2:16">
      <c r="G5" s="18"/>
      <c r="M5" s="156">
        <v>50000</v>
      </c>
    </row>
    <row r="6" spans="2:16">
      <c r="C6" s="686" t="s">
        <v>472</v>
      </c>
      <c r="D6" s="686"/>
      <c r="E6" s="686"/>
      <c r="G6" s="89" t="s">
        <v>381</v>
      </c>
      <c r="H6" s="142">
        <f>H4</f>
        <v>42787</v>
      </c>
      <c r="M6" s="156">
        <v>50000</v>
      </c>
    </row>
    <row r="7" spans="2:16">
      <c r="G7" s="24" t="s">
        <v>55</v>
      </c>
      <c r="M7" s="156">
        <v>50000</v>
      </c>
    </row>
    <row r="8" spans="2:16">
      <c r="G8" s="18"/>
      <c r="M8" s="156">
        <v>-200000</v>
      </c>
    </row>
    <row r="11" spans="2:16">
      <c r="G11" s="18" t="s">
        <v>56</v>
      </c>
    </row>
    <row r="14" spans="2:16">
      <c r="B14" s="336" t="s">
        <v>57</v>
      </c>
      <c r="D14" t="s">
        <v>58</v>
      </c>
      <c r="F14" s="424" t="s">
        <v>87</v>
      </c>
      <c r="G14" s="20" t="s">
        <v>88</v>
      </c>
      <c r="H14" s="20" t="s">
        <v>89</v>
      </c>
    </row>
    <row r="15" spans="2:16" ht="15" customHeight="1">
      <c r="B15" s="336">
        <v>42787</v>
      </c>
      <c r="D15" s="55" t="s">
        <v>614</v>
      </c>
      <c r="F15" s="322">
        <v>500000</v>
      </c>
      <c r="H15" s="21">
        <f>F15-G15</f>
        <v>500000</v>
      </c>
    </row>
    <row r="16" spans="2:16" ht="15" customHeight="1">
      <c r="B16" s="336">
        <v>42858</v>
      </c>
      <c r="D16" s="55" t="s">
        <v>286</v>
      </c>
      <c r="F16" s="322">
        <v>50000</v>
      </c>
      <c r="H16" s="21">
        <f>H15+F16-G16</f>
        <v>550000</v>
      </c>
    </row>
    <row r="17" spans="2:16" ht="15" customHeight="1">
      <c r="B17" s="336">
        <v>42877</v>
      </c>
      <c r="D17" s="55" t="s">
        <v>286</v>
      </c>
      <c r="F17" s="322">
        <v>50000</v>
      </c>
      <c r="H17" s="21">
        <f>H16+F17-G17</f>
        <v>600000</v>
      </c>
    </row>
    <row r="18" spans="2:16" ht="15" customHeight="1">
      <c r="B18" s="337">
        <v>42898</v>
      </c>
      <c r="D18" s="55" t="s">
        <v>286</v>
      </c>
      <c r="F18" s="322">
        <v>50000</v>
      </c>
      <c r="H18" s="21">
        <f>H17+F18-G18</f>
        <v>650000</v>
      </c>
    </row>
    <row r="19" spans="2:16" ht="15" customHeight="1">
      <c r="B19" s="336">
        <v>42996</v>
      </c>
      <c r="C19" s="55" t="s">
        <v>286</v>
      </c>
      <c r="D19" s="105" t="s">
        <v>780</v>
      </c>
      <c r="E19" s="55"/>
      <c r="F19" s="323">
        <v>50000</v>
      </c>
      <c r="H19" s="21">
        <f t="shared" ref="H19:H21" si="0">H18+F19-G19</f>
        <v>700000</v>
      </c>
    </row>
    <row r="20" spans="2:16" ht="15" customHeight="1">
      <c r="B20" s="336">
        <v>42996</v>
      </c>
      <c r="C20" s="55" t="s">
        <v>286</v>
      </c>
      <c r="D20" s="105" t="s">
        <v>780</v>
      </c>
      <c r="E20" s="55"/>
      <c r="F20" s="323">
        <v>50000</v>
      </c>
      <c r="H20" s="21">
        <f t="shared" si="0"/>
        <v>750000</v>
      </c>
    </row>
    <row r="21" spans="2:16" ht="15" customHeight="1">
      <c r="B21" s="336">
        <v>42917</v>
      </c>
      <c r="C21" t="s">
        <v>804</v>
      </c>
      <c r="F21" s="21"/>
      <c r="G21" s="21">
        <v>200000</v>
      </c>
      <c r="H21" s="21">
        <f t="shared" si="0"/>
        <v>550000</v>
      </c>
    </row>
    <row r="22" spans="2:16" ht="15" customHeight="1">
      <c r="B22"/>
    </row>
    <row r="23" spans="2:16" ht="15" customHeight="1">
      <c r="B23"/>
    </row>
    <row r="24" spans="2:16" ht="15" customHeight="1">
      <c r="B24"/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</row>
    <row r="29" spans="2:16" ht="15" customHeight="1">
      <c r="B29"/>
    </row>
    <row r="30" spans="2:16" ht="15" customHeight="1">
      <c r="B30"/>
    </row>
    <row r="31" spans="2:16">
      <c r="B31"/>
      <c r="F31" s="291"/>
      <c r="G31"/>
      <c r="H31"/>
      <c r="L31"/>
      <c r="M31" s="291"/>
      <c r="N31" s="291"/>
      <c r="O31"/>
      <c r="P31"/>
    </row>
    <row r="32" spans="2:16">
      <c r="B32"/>
      <c r="F32" s="291"/>
      <c r="G32"/>
      <c r="H32"/>
      <c r="L32"/>
      <c r="M32" s="291"/>
      <c r="N32" s="291"/>
      <c r="O32"/>
      <c r="P32"/>
    </row>
    <row r="33" spans="2:16">
      <c r="B33"/>
      <c r="F33" s="291"/>
      <c r="G33"/>
      <c r="H33"/>
      <c r="L33"/>
      <c r="M33" s="291"/>
      <c r="N33" s="291"/>
      <c r="O33"/>
      <c r="P33"/>
    </row>
    <row r="34" spans="2:16">
      <c r="B34"/>
      <c r="F34" s="291"/>
      <c r="G34"/>
      <c r="H34"/>
      <c r="L34"/>
      <c r="M34" s="291"/>
      <c r="N34" s="291"/>
      <c r="O34"/>
      <c r="P34"/>
    </row>
    <row r="35" spans="2:16">
      <c r="B35"/>
      <c r="F35" s="291"/>
      <c r="G35"/>
      <c r="H35"/>
      <c r="L35"/>
      <c r="M35" s="291"/>
      <c r="N35" s="291"/>
      <c r="O35"/>
      <c r="P35"/>
    </row>
    <row r="36" spans="2:16">
      <c r="B36"/>
      <c r="F36" s="291"/>
      <c r="G36"/>
      <c r="H36"/>
      <c r="L36"/>
      <c r="M36" s="291"/>
      <c r="N36" s="291"/>
      <c r="O36"/>
      <c r="P36"/>
    </row>
    <row r="37" spans="2:16">
      <c r="B37"/>
      <c r="F37" s="291"/>
      <c r="G37"/>
      <c r="H37"/>
      <c r="L37"/>
      <c r="M37" s="291"/>
      <c r="N37" s="291"/>
      <c r="O37"/>
      <c r="P37"/>
    </row>
    <row r="38" spans="2:16">
      <c r="B38"/>
      <c r="F38" s="291"/>
      <c r="G38"/>
      <c r="H38"/>
      <c r="L38"/>
      <c r="M38" s="291"/>
      <c r="N38" s="291"/>
      <c r="O38"/>
      <c r="P38"/>
    </row>
    <row r="39" spans="2:16">
      <c r="B39"/>
      <c r="F39" s="291"/>
      <c r="G39"/>
      <c r="H39"/>
      <c r="L39"/>
      <c r="M39" s="291"/>
      <c r="N39" s="291"/>
      <c r="O39"/>
      <c r="P39"/>
    </row>
    <row r="40" spans="2:16">
      <c r="B40"/>
      <c r="F40" s="291"/>
      <c r="G40"/>
      <c r="H40"/>
      <c r="L40"/>
      <c r="M40" s="291"/>
      <c r="N40" s="291"/>
      <c r="O40"/>
      <c r="P40"/>
    </row>
    <row r="41" spans="2:16">
      <c r="B41"/>
      <c r="F41" s="291"/>
      <c r="G41"/>
      <c r="H41"/>
      <c r="L41"/>
      <c r="M41" s="291"/>
      <c r="N41" s="291"/>
      <c r="O41"/>
      <c r="P41"/>
    </row>
    <row r="42" spans="2:16">
      <c r="B42"/>
      <c r="F42" s="291"/>
      <c r="G42"/>
      <c r="H42"/>
      <c r="L42"/>
      <c r="M42" s="291"/>
      <c r="N42" s="291"/>
      <c r="O42"/>
      <c r="P42"/>
    </row>
    <row r="43" spans="2:16">
      <c r="B43"/>
      <c r="F43" s="291"/>
      <c r="G43"/>
      <c r="H43"/>
      <c r="L43"/>
      <c r="M43" s="291"/>
      <c r="N43" s="291"/>
      <c r="O43"/>
      <c r="P43"/>
    </row>
    <row r="48" spans="2:16">
      <c r="B48"/>
      <c r="D48" s="76" t="s">
        <v>307</v>
      </c>
      <c r="E48" s="48"/>
      <c r="F48" s="426">
        <f>SUM(F15:F47)</f>
        <v>750000</v>
      </c>
      <c r="G48" s="53">
        <f>SUM(G15:G47)</f>
        <v>200000</v>
      </c>
      <c r="H48" s="77">
        <f>F48-G48</f>
        <v>550000</v>
      </c>
      <c r="L48" s="92">
        <f>SUM(L3:L11)</f>
        <v>500000</v>
      </c>
      <c r="M48" s="156">
        <f>SUM(M3:M46)</f>
        <v>50000</v>
      </c>
      <c r="N48" s="156">
        <f>SUM(N3:N11)</f>
        <v>0</v>
      </c>
      <c r="O48" s="92">
        <f>SUM(O3:O11)</f>
        <v>0</v>
      </c>
      <c r="P48" s="92">
        <f>SUM(P3:P11)</f>
        <v>0</v>
      </c>
    </row>
    <row r="49" spans="6:16" customFormat="1">
      <c r="F49" s="291"/>
      <c r="P49" s="92">
        <f>SUM(L48:P48)</f>
        <v>550000</v>
      </c>
    </row>
  </sheetData>
  <mergeCells count="2">
    <mergeCell ref="L1:P1"/>
    <mergeCell ref="C6:E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00B0F0"/>
  </sheetPr>
  <dimension ref="B1:P65"/>
  <sheetViews>
    <sheetView topLeftCell="A19" workbookViewId="0">
      <selection activeCell="H53" sqref="H53:H54"/>
    </sheetView>
  </sheetViews>
  <sheetFormatPr defaultRowHeight="12.75"/>
  <cols>
    <col min="1" max="1" width="0.7109375" customWidth="1"/>
    <col min="2" max="2" width="11.28515625" style="336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4" width="14.140625" style="156" customWidth="1"/>
    <col min="15" max="15" width="14.140625" style="30" customWidth="1"/>
    <col min="16" max="16" width="17.140625" style="30" customWidth="1"/>
  </cols>
  <sheetData>
    <row r="1" spans="2:16">
      <c r="B1" s="336" t="s">
        <v>49</v>
      </c>
      <c r="C1" t="s">
        <v>3</v>
      </c>
      <c r="D1" s="55" t="s">
        <v>750</v>
      </c>
      <c r="E1" s="55"/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336" t="s">
        <v>50</v>
      </c>
      <c r="C2" t="s">
        <v>3</v>
      </c>
      <c r="D2" s="158" t="s">
        <v>190</v>
      </c>
      <c r="G2" s="18" t="s">
        <v>53</v>
      </c>
      <c r="H2" s="159"/>
      <c r="L2" s="91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>
      <c r="B3" s="336" t="s">
        <v>11</v>
      </c>
      <c r="C3" t="s">
        <v>3</v>
      </c>
      <c r="D3" s="25" t="s">
        <v>751</v>
      </c>
      <c r="G3" s="18" t="s">
        <v>61</v>
      </c>
      <c r="H3" s="292" t="s">
        <v>752</v>
      </c>
      <c r="L3" s="21">
        <v>500000</v>
      </c>
      <c r="M3" s="156">
        <v>50000</v>
      </c>
      <c r="N3" s="156">
        <v>250000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42874</v>
      </c>
      <c r="L4" s="92"/>
      <c r="M4" s="156">
        <v>50000</v>
      </c>
      <c r="N4" s="156">
        <v>50000</v>
      </c>
      <c r="O4" s="92"/>
    </row>
    <row r="5" spans="2:16">
      <c r="G5" s="18"/>
      <c r="M5" s="156">
        <v>50000</v>
      </c>
      <c r="N5" s="156">
        <v>50000</v>
      </c>
    </row>
    <row r="6" spans="2:16">
      <c r="C6" s="686" t="s">
        <v>472</v>
      </c>
      <c r="D6" s="686"/>
      <c r="E6" s="686"/>
      <c r="G6" s="89" t="s">
        <v>381</v>
      </c>
      <c r="H6" s="142">
        <f>H4</f>
        <v>42874</v>
      </c>
      <c r="M6" s="156">
        <v>50000</v>
      </c>
      <c r="N6" s="156">
        <v>50000</v>
      </c>
    </row>
    <row r="7" spans="2:16">
      <c r="G7" s="24" t="s">
        <v>55</v>
      </c>
      <c r="M7" s="156">
        <v>50000</v>
      </c>
      <c r="N7" s="156">
        <v>50000</v>
      </c>
    </row>
    <row r="8" spans="2:16">
      <c r="G8" s="18"/>
      <c r="M8" s="156">
        <v>50000</v>
      </c>
      <c r="N8" s="156">
        <v>50000</v>
      </c>
    </row>
    <row r="9" spans="2:16">
      <c r="M9" s="156">
        <v>50000</v>
      </c>
      <c r="N9" s="156">
        <v>-550000</v>
      </c>
    </row>
    <row r="10" spans="2:16">
      <c r="M10" s="156">
        <v>50000</v>
      </c>
      <c r="N10" s="156">
        <v>50000</v>
      </c>
    </row>
    <row r="11" spans="2:16">
      <c r="G11" s="18" t="s">
        <v>56</v>
      </c>
      <c r="M11" s="156">
        <v>150000</v>
      </c>
      <c r="N11" s="156">
        <v>50000</v>
      </c>
    </row>
    <row r="12" spans="2:16">
      <c r="M12" s="156">
        <v>100000</v>
      </c>
      <c r="N12" s="156">
        <v>50000</v>
      </c>
    </row>
    <row r="13" spans="2:16">
      <c r="M13" s="156">
        <v>100000</v>
      </c>
      <c r="N13" s="156">
        <v>50000</v>
      </c>
    </row>
    <row r="14" spans="2:16">
      <c r="B14" s="336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50000</v>
      </c>
      <c r="N14" s="556">
        <v>100000</v>
      </c>
    </row>
    <row r="15" spans="2:16" ht="15" customHeight="1">
      <c r="B15" s="336">
        <v>42874</v>
      </c>
      <c r="D15" s="55" t="s">
        <v>614</v>
      </c>
      <c r="F15" s="21">
        <v>500000</v>
      </c>
      <c r="H15" s="21">
        <f>F15-G15</f>
        <v>500000</v>
      </c>
      <c r="M15" s="156">
        <v>50000</v>
      </c>
      <c r="N15" s="156">
        <v>50000</v>
      </c>
    </row>
    <row r="16" spans="2:16" ht="15" customHeight="1">
      <c r="B16" s="336">
        <v>42874</v>
      </c>
      <c r="D16" s="55" t="s">
        <v>286</v>
      </c>
      <c r="F16" s="21">
        <v>50000</v>
      </c>
      <c r="H16" s="21">
        <f>H15+F16-G16</f>
        <v>550000</v>
      </c>
      <c r="M16" s="156">
        <v>50000</v>
      </c>
      <c r="N16" s="156">
        <v>50000</v>
      </c>
    </row>
    <row r="17" spans="2:16" ht="15" customHeight="1">
      <c r="B17" s="336">
        <v>42874</v>
      </c>
      <c r="D17" s="55" t="s">
        <v>282</v>
      </c>
      <c r="F17" s="21">
        <v>250000</v>
      </c>
      <c r="H17" s="21">
        <f>H16+F17-G17</f>
        <v>800000</v>
      </c>
      <c r="M17" s="156">
        <v>50000</v>
      </c>
      <c r="N17" s="156">
        <v>50000</v>
      </c>
    </row>
    <row r="18" spans="2:16" ht="15" customHeight="1">
      <c r="B18" s="337">
        <v>42888</v>
      </c>
      <c r="D18" s="55" t="s">
        <v>286</v>
      </c>
      <c r="F18" s="21">
        <v>50000</v>
      </c>
      <c r="H18" s="21">
        <f>H17+F18-G18</f>
        <v>850000</v>
      </c>
      <c r="M18" s="156">
        <v>50000</v>
      </c>
      <c r="N18" s="156">
        <v>50000</v>
      </c>
    </row>
    <row r="19" spans="2:16" ht="15" customHeight="1">
      <c r="B19" s="337">
        <v>42927</v>
      </c>
      <c r="D19" s="55" t="s">
        <v>286</v>
      </c>
      <c r="F19" s="21">
        <v>50000</v>
      </c>
      <c r="H19" s="21">
        <f>H18+F19-G19</f>
        <v>900000</v>
      </c>
      <c r="M19" s="156">
        <v>50000</v>
      </c>
      <c r="N19" s="156">
        <v>50000</v>
      </c>
    </row>
    <row r="20" spans="2:16" ht="15" customHeight="1">
      <c r="B20" s="337">
        <v>42951</v>
      </c>
      <c r="D20" s="55" t="s">
        <v>706</v>
      </c>
      <c r="F20" s="21">
        <v>100000</v>
      </c>
      <c r="H20" s="21">
        <f>H19+F20-G20</f>
        <v>1000000</v>
      </c>
      <c r="M20" s="156">
        <v>50000</v>
      </c>
      <c r="N20" s="156">
        <v>50000</v>
      </c>
    </row>
    <row r="21" spans="2:16" ht="15" customHeight="1">
      <c r="B21" s="337">
        <v>42982</v>
      </c>
      <c r="D21" s="55" t="s">
        <v>706</v>
      </c>
      <c r="F21" s="21">
        <v>100000</v>
      </c>
      <c r="H21" s="21">
        <f t="shared" ref="H21:H54" si="0">H20+F21-G21</f>
        <v>1100000</v>
      </c>
      <c r="M21" s="156">
        <v>50000</v>
      </c>
      <c r="N21" s="156">
        <v>50000</v>
      </c>
    </row>
    <row r="22" spans="2:16" ht="15" customHeight="1">
      <c r="B22" s="337">
        <v>43041</v>
      </c>
      <c r="D22" s="55" t="s">
        <v>706</v>
      </c>
      <c r="F22" s="21">
        <v>100000</v>
      </c>
      <c r="H22" s="21">
        <f t="shared" si="0"/>
        <v>1200000</v>
      </c>
      <c r="M22" s="156">
        <v>50000</v>
      </c>
      <c r="N22" s="156">
        <v>50000</v>
      </c>
    </row>
    <row r="23" spans="2:16" ht="15" customHeight="1">
      <c r="B23" s="337">
        <v>43071</v>
      </c>
      <c r="D23" s="55" t="s">
        <v>706</v>
      </c>
      <c r="F23" s="21">
        <v>100000</v>
      </c>
      <c r="H23" s="21">
        <f t="shared" si="0"/>
        <v>1300000</v>
      </c>
      <c r="M23" s="156">
        <v>50000</v>
      </c>
      <c r="N23" s="156">
        <v>50000</v>
      </c>
    </row>
    <row r="24" spans="2:16" ht="15" customHeight="1">
      <c r="B24" s="337">
        <v>43105</v>
      </c>
      <c r="D24" s="55" t="s">
        <v>786</v>
      </c>
      <c r="F24" s="21">
        <v>100000</v>
      </c>
      <c r="H24" s="21">
        <f t="shared" si="0"/>
        <v>1400000</v>
      </c>
      <c r="M24" s="156">
        <v>50000</v>
      </c>
      <c r="N24" s="156">
        <v>50000</v>
      </c>
    </row>
    <row r="25" spans="2:16" ht="15" customHeight="1">
      <c r="B25" s="337">
        <v>43164</v>
      </c>
      <c r="D25" s="55" t="s">
        <v>853</v>
      </c>
      <c r="G25" s="21">
        <v>550000</v>
      </c>
      <c r="H25" s="21">
        <f t="shared" si="0"/>
        <v>850000</v>
      </c>
      <c r="M25" s="156">
        <v>50000</v>
      </c>
      <c r="N25" s="156">
        <v>50000</v>
      </c>
    </row>
    <row r="26" spans="2:16" ht="15" customHeight="1">
      <c r="B26" s="337">
        <v>43255</v>
      </c>
      <c r="D26" s="55" t="s">
        <v>884</v>
      </c>
      <c r="F26" s="21">
        <v>150000</v>
      </c>
      <c r="H26" s="21">
        <f t="shared" si="0"/>
        <v>1000000</v>
      </c>
      <c r="M26" s="156">
        <v>50000</v>
      </c>
      <c r="N26" s="156">
        <v>50000</v>
      </c>
    </row>
    <row r="27" spans="2:16" ht="15" customHeight="1">
      <c r="B27" s="337">
        <v>43315</v>
      </c>
      <c r="D27" s="55" t="s">
        <v>900</v>
      </c>
      <c r="F27" s="21">
        <v>100000</v>
      </c>
      <c r="H27" s="21">
        <f t="shared" si="0"/>
        <v>1100000</v>
      </c>
      <c r="M27" s="156">
        <v>50000</v>
      </c>
      <c r="N27" s="156">
        <v>50000</v>
      </c>
    </row>
    <row r="28" spans="2:16" ht="15" customHeight="1">
      <c r="B28" s="337">
        <v>43348</v>
      </c>
      <c r="D28" s="55" t="s">
        <v>912</v>
      </c>
      <c r="F28" s="21">
        <v>150000</v>
      </c>
      <c r="H28" s="21">
        <f t="shared" si="0"/>
        <v>1250000</v>
      </c>
      <c r="M28" s="156">
        <v>50000</v>
      </c>
      <c r="N28" s="156">
        <v>50000</v>
      </c>
    </row>
    <row r="29" spans="2:16" ht="15" customHeight="1">
      <c r="B29" s="337">
        <v>43376</v>
      </c>
      <c r="D29" s="55" t="s">
        <v>913</v>
      </c>
      <c r="F29" s="21">
        <v>100000</v>
      </c>
      <c r="H29" s="21">
        <f t="shared" si="0"/>
        <v>1350000</v>
      </c>
      <c r="M29" s="156">
        <v>50000</v>
      </c>
      <c r="N29" s="156">
        <v>50000</v>
      </c>
    </row>
    <row r="30" spans="2:16" ht="15" customHeight="1">
      <c r="B30" s="337">
        <v>43409</v>
      </c>
      <c r="D30" s="55" t="s">
        <v>921</v>
      </c>
      <c r="F30" s="21">
        <v>100000</v>
      </c>
      <c r="H30" s="21">
        <f t="shared" si="0"/>
        <v>1450000</v>
      </c>
      <c r="M30" s="156">
        <v>50000</v>
      </c>
      <c r="N30" s="156">
        <v>50000</v>
      </c>
    </row>
    <row r="31" spans="2:16">
      <c r="B31" s="337">
        <v>43437</v>
      </c>
      <c r="D31" s="55" t="s">
        <v>923</v>
      </c>
      <c r="F31" s="21">
        <v>100000</v>
      </c>
      <c r="G31"/>
      <c r="H31" s="21">
        <f t="shared" si="0"/>
        <v>1550000</v>
      </c>
      <c r="L31"/>
      <c r="M31" s="156">
        <v>50000</v>
      </c>
      <c r="N31" s="156">
        <v>50000</v>
      </c>
      <c r="O31"/>
      <c r="P31"/>
    </row>
    <row r="32" spans="2:16">
      <c r="B32" s="337">
        <v>43480</v>
      </c>
      <c r="D32" s="55" t="s">
        <v>954</v>
      </c>
      <c r="F32" s="21">
        <v>100000</v>
      </c>
      <c r="G32"/>
      <c r="H32" s="21">
        <f t="shared" si="0"/>
        <v>1650000</v>
      </c>
      <c r="L32"/>
      <c r="M32" s="291">
        <v>50000</v>
      </c>
      <c r="N32" s="291">
        <v>50000</v>
      </c>
      <c r="O32"/>
      <c r="P32"/>
    </row>
    <row r="33" spans="2:16">
      <c r="B33" s="337">
        <v>43504</v>
      </c>
      <c r="D33" s="55" t="s">
        <v>987</v>
      </c>
      <c r="F33" s="21">
        <v>100000</v>
      </c>
      <c r="G33"/>
      <c r="H33" s="21">
        <f t="shared" si="0"/>
        <v>1750000</v>
      </c>
      <c r="L33"/>
      <c r="M33" s="291">
        <v>100000</v>
      </c>
      <c r="N33" s="291"/>
      <c r="O33"/>
      <c r="P33"/>
    </row>
    <row r="34" spans="2:16">
      <c r="B34" s="337">
        <v>43528</v>
      </c>
      <c r="D34" s="55" t="s">
        <v>282</v>
      </c>
      <c r="F34" s="320">
        <v>100000</v>
      </c>
      <c r="G34"/>
      <c r="H34" s="21">
        <f t="shared" si="0"/>
        <v>1850000</v>
      </c>
      <c r="L34"/>
      <c r="M34" s="291">
        <v>50000</v>
      </c>
      <c r="N34" s="291">
        <v>50000</v>
      </c>
      <c r="O34"/>
      <c r="P34"/>
    </row>
    <row r="35" spans="2:16">
      <c r="B35" s="337">
        <v>43560</v>
      </c>
      <c r="D35" s="55" t="s">
        <v>706</v>
      </c>
      <c r="F35" s="21">
        <v>100000</v>
      </c>
      <c r="G35"/>
      <c r="H35" s="21">
        <f t="shared" si="0"/>
        <v>1950000</v>
      </c>
      <c r="L35"/>
      <c r="M35" s="291">
        <v>50000</v>
      </c>
      <c r="N35" s="291">
        <v>50000</v>
      </c>
      <c r="O35"/>
      <c r="P35"/>
    </row>
    <row r="36" spans="2:16">
      <c r="B36" s="337">
        <v>43588</v>
      </c>
      <c r="D36" s="55" t="s">
        <v>706</v>
      </c>
      <c r="F36" s="21">
        <v>100000</v>
      </c>
      <c r="G36"/>
      <c r="H36" s="21">
        <f t="shared" si="0"/>
        <v>2050000</v>
      </c>
      <c r="L36"/>
      <c r="M36" s="291">
        <v>50000</v>
      </c>
      <c r="N36" s="291">
        <v>50000</v>
      </c>
      <c r="O36"/>
      <c r="P36"/>
    </row>
    <row r="37" spans="2:16">
      <c r="B37" s="337">
        <v>43635</v>
      </c>
      <c r="D37" s="55" t="s">
        <v>1053</v>
      </c>
      <c r="F37" s="21">
        <v>100000</v>
      </c>
      <c r="G37"/>
      <c r="H37" s="21">
        <f t="shared" si="0"/>
        <v>2150000</v>
      </c>
      <c r="L37"/>
      <c r="M37" s="291">
        <v>50000</v>
      </c>
      <c r="N37" s="291">
        <v>50000</v>
      </c>
      <c r="O37"/>
      <c r="P37"/>
    </row>
    <row r="38" spans="2:16">
      <c r="B38" s="337">
        <v>43649</v>
      </c>
      <c r="D38" s="55" t="s">
        <v>1053</v>
      </c>
      <c r="F38" s="21">
        <v>100000</v>
      </c>
      <c r="G38"/>
      <c r="H38" s="21">
        <f t="shared" si="0"/>
        <v>2250000</v>
      </c>
      <c r="L38"/>
      <c r="M38" s="291"/>
      <c r="N38" s="291"/>
      <c r="O38"/>
      <c r="P38"/>
    </row>
    <row r="39" spans="2:16">
      <c r="B39" s="337">
        <v>43679</v>
      </c>
      <c r="D39" s="55" t="s">
        <v>1053</v>
      </c>
      <c r="F39" s="21">
        <v>100000</v>
      </c>
      <c r="G39"/>
      <c r="H39" s="21">
        <f t="shared" si="0"/>
        <v>2350000</v>
      </c>
      <c r="L39"/>
      <c r="M39" s="291"/>
      <c r="N39" s="291"/>
      <c r="O39"/>
      <c r="P39"/>
    </row>
    <row r="40" spans="2:16">
      <c r="B40" s="337">
        <v>43711</v>
      </c>
      <c r="D40" s="55" t="s">
        <v>1053</v>
      </c>
      <c r="F40" s="21">
        <v>100000</v>
      </c>
      <c r="G40"/>
      <c r="H40" s="21">
        <f t="shared" si="0"/>
        <v>2450000</v>
      </c>
      <c r="L40"/>
      <c r="M40" s="291"/>
      <c r="N40" s="291"/>
      <c r="O40"/>
      <c r="P40"/>
    </row>
    <row r="41" spans="2:16">
      <c r="B41" s="337">
        <v>43752</v>
      </c>
      <c r="D41" s="55" t="s">
        <v>1053</v>
      </c>
      <c r="F41" s="21">
        <v>100000</v>
      </c>
      <c r="G41"/>
      <c r="H41" s="21">
        <f t="shared" si="0"/>
        <v>2550000</v>
      </c>
      <c r="L41"/>
      <c r="M41" s="291"/>
      <c r="N41" s="291"/>
      <c r="O41"/>
      <c r="P41"/>
    </row>
    <row r="42" spans="2:16">
      <c r="B42" s="337">
        <v>43774</v>
      </c>
      <c r="D42" s="55" t="s">
        <v>1053</v>
      </c>
      <c r="F42" s="21">
        <v>100000</v>
      </c>
      <c r="G42"/>
      <c r="H42" s="21">
        <f t="shared" si="0"/>
        <v>2650000</v>
      </c>
      <c r="L42"/>
      <c r="M42" s="291"/>
      <c r="N42" s="291"/>
      <c r="O42"/>
      <c r="P42"/>
    </row>
    <row r="43" spans="2:16">
      <c r="B43" s="337">
        <v>43803</v>
      </c>
      <c r="D43" s="55" t="s">
        <v>1053</v>
      </c>
      <c r="F43" s="21">
        <v>100000</v>
      </c>
      <c r="G43"/>
      <c r="H43" s="21">
        <f t="shared" si="0"/>
        <v>2750000</v>
      </c>
      <c r="L43"/>
      <c r="M43" s="291"/>
      <c r="N43" s="291"/>
      <c r="O43"/>
      <c r="P43"/>
    </row>
    <row r="44" spans="2:16">
      <c r="B44" s="337">
        <v>43832</v>
      </c>
      <c r="D44" s="55" t="s">
        <v>1053</v>
      </c>
      <c r="F44" s="21">
        <v>100000</v>
      </c>
      <c r="G44"/>
      <c r="H44" s="21">
        <f t="shared" si="0"/>
        <v>2850000</v>
      </c>
      <c r="L44"/>
      <c r="M44" s="291"/>
      <c r="N44" s="291"/>
      <c r="O44"/>
      <c r="P44"/>
    </row>
    <row r="45" spans="2:16">
      <c r="B45" s="337">
        <v>43832</v>
      </c>
      <c r="D45" s="55" t="s">
        <v>1053</v>
      </c>
      <c r="E45" t="s">
        <v>1104</v>
      </c>
      <c r="F45" s="21">
        <v>100000</v>
      </c>
      <c r="G45"/>
      <c r="H45" s="21">
        <f t="shared" si="0"/>
        <v>2950000</v>
      </c>
      <c r="L45"/>
      <c r="M45" s="291"/>
      <c r="N45" s="291"/>
      <c r="O45"/>
      <c r="P45"/>
    </row>
    <row r="46" spans="2:16">
      <c r="B46" s="337">
        <v>43864</v>
      </c>
      <c r="D46" s="55" t="s">
        <v>1053</v>
      </c>
      <c r="F46" s="21">
        <v>100000</v>
      </c>
      <c r="G46"/>
      <c r="H46" s="21">
        <f t="shared" si="0"/>
        <v>3050000</v>
      </c>
      <c r="L46"/>
      <c r="M46" s="291"/>
      <c r="N46" s="291"/>
      <c r="O46"/>
      <c r="P46"/>
    </row>
    <row r="47" spans="2:16">
      <c r="B47" s="337">
        <v>43893</v>
      </c>
      <c r="D47" s="55" t="s">
        <v>1053</v>
      </c>
      <c r="F47" s="21">
        <v>100000</v>
      </c>
      <c r="G47"/>
      <c r="H47" s="21">
        <f t="shared" si="0"/>
        <v>3150000</v>
      </c>
      <c r="L47"/>
      <c r="M47" s="291"/>
      <c r="N47" s="291"/>
      <c r="O47"/>
      <c r="P47"/>
    </row>
    <row r="48" spans="2:16">
      <c r="B48" s="337">
        <v>43928</v>
      </c>
      <c r="D48" s="55" t="s">
        <v>1053</v>
      </c>
      <c r="F48" s="21">
        <v>100000</v>
      </c>
      <c r="G48"/>
      <c r="H48" s="21">
        <f t="shared" si="0"/>
        <v>3250000</v>
      </c>
      <c r="L48"/>
      <c r="M48" s="291"/>
      <c r="N48" s="291"/>
      <c r="O48"/>
      <c r="P48"/>
    </row>
    <row r="49" spans="2:16">
      <c r="B49" s="337">
        <v>43952</v>
      </c>
      <c r="D49" s="55" t="s">
        <v>1053</v>
      </c>
      <c r="F49" s="21">
        <v>100000</v>
      </c>
      <c r="G49"/>
      <c r="H49" s="21">
        <f t="shared" si="0"/>
        <v>3350000</v>
      </c>
      <c r="L49"/>
      <c r="M49" s="291"/>
      <c r="N49" s="291"/>
      <c r="O49"/>
      <c r="P49"/>
    </row>
    <row r="50" spans="2:16">
      <c r="B50" s="337">
        <v>44018</v>
      </c>
      <c r="D50" s="55" t="s">
        <v>917</v>
      </c>
      <c r="F50" s="21">
        <v>100000</v>
      </c>
      <c r="G50"/>
      <c r="H50" s="21">
        <f t="shared" si="0"/>
        <v>3450000</v>
      </c>
      <c r="L50"/>
      <c r="M50" s="291"/>
      <c r="N50" s="291"/>
      <c r="O50"/>
      <c r="P50"/>
    </row>
    <row r="51" spans="2:16">
      <c r="B51" s="337">
        <v>44047</v>
      </c>
      <c r="D51" s="55" t="s">
        <v>1053</v>
      </c>
      <c r="F51" s="21">
        <v>100000</v>
      </c>
      <c r="G51"/>
      <c r="H51" s="21">
        <f t="shared" si="0"/>
        <v>3550000</v>
      </c>
      <c r="L51"/>
      <c r="M51" s="291"/>
      <c r="N51" s="291"/>
      <c r="O51"/>
      <c r="P51"/>
    </row>
    <row r="52" spans="2:16">
      <c r="B52" s="337">
        <v>44077</v>
      </c>
      <c r="D52" s="55" t="s">
        <v>1053</v>
      </c>
      <c r="F52" s="21">
        <v>100000</v>
      </c>
      <c r="G52"/>
      <c r="H52" s="21">
        <f t="shared" si="0"/>
        <v>3650000</v>
      </c>
      <c r="L52"/>
      <c r="M52" s="291"/>
      <c r="N52" s="291"/>
      <c r="O52"/>
      <c r="P52"/>
    </row>
    <row r="53" spans="2:16">
      <c r="B53" s="337">
        <v>44106</v>
      </c>
      <c r="D53" s="55" t="s">
        <v>1053</v>
      </c>
      <c r="F53" s="21">
        <v>100000</v>
      </c>
      <c r="G53"/>
      <c r="H53" s="21">
        <f t="shared" si="0"/>
        <v>3750000</v>
      </c>
      <c r="L53"/>
      <c r="M53" s="291"/>
      <c r="N53" s="291"/>
      <c r="O53"/>
      <c r="P53"/>
    </row>
    <row r="54" spans="2:16">
      <c r="B54" s="337">
        <v>44137</v>
      </c>
      <c r="D54" s="55" t="s">
        <v>1053</v>
      </c>
      <c r="F54" s="21">
        <v>100000</v>
      </c>
      <c r="G54"/>
      <c r="H54" s="21">
        <f t="shared" si="0"/>
        <v>3850000</v>
      </c>
      <c r="L54"/>
      <c r="M54" s="291"/>
      <c r="N54" s="291"/>
      <c r="O54"/>
      <c r="P54"/>
    </row>
    <row r="55" spans="2:16">
      <c r="B55"/>
      <c r="F55"/>
      <c r="G55"/>
      <c r="H55"/>
      <c r="L55"/>
      <c r="M55" s="291"/>
      <c r="N55" s="291"/>
      <c r="O55"/>
      <c r="P55"/>
    </row>
    <row r="56" spans="2:16">
      <c r="B56"/>
      <c r="F56"/>
      <c r="G56"/>
      <c r="H56"/>
      <c r="L56"/>
      <c r="M56" s="291"/>
      <c r="N56" s="291"/>
      <c r="O56"/>
      <c r="P56"/>
    </row>
    <row r="57" spans="2:16">
      <c r="B57"/>
      <c r="F57"/>
      <c r="G57"/>
      <c r="H57"/>
      <c r="L57"/>
      <c r="M57" s="291"/>
      <c r="N57" s="291"/>
      <c r="O57"/>
      <c r="P57"/>
    </row>
    <row r="58" spans="2:16">
      <c r="B58"/>
      <c r="F58"/>
      <c r="G58"/>
      <c r="H58"/>
      <c r="L58"/>
      <c r="M58" s="291"/>
      <c r="N58" s="291"/>
      <c r="O58"/>
      <c r="P58"/>
    </row>
    <row r="59" spans="2:16">
      <c r="B59"/>
      <c r="F59"/>
      <c r="G59"/>
      <c r="H59"/>
      <c r="L59"/>
      <c r="M59" s="291"/>
      <c r="N59" s="291"/>
      <c r="O59"/>
      <c r="P59"/>
    </row>
    <row r="64" spans="2:16">
      <c r="B64"/>
      <c r="D64" s="76" t="s">
        <v>307</v>
      </c>
      <c r="E64" s="48"/>
      <c r="F64" s="53">
        <f>SUM(F15:F63)</f>
        <v>4400000</v>
      </c>
      <c r="G64" s="53">
        <f>SUM(G15:G63)</f>
        <v>550000</v>
      </c>
      <c r="H64" s="77">
        <f>F64-G64</f>
        <v>3850000</v>
      </c>
      <c r="L64" s="92">
        <f>SUM(L3:L11)</f>
        <v>500000</v>
      </c>
      <c r="M64" s="156">
        <f>SUM(M3:M63)</f>
        <v>2000000</v>
      </c>
      <c r="N64" s="156">
        <f>SUM(N3:N63)</f>
        <v>1350000</v>
      </c>
      <c r="O64" s="92">
        <f>SUM(O3:O11)</f>
        <v>0</v>
      </c>
      <c r="P64" s="92">
        <f>SUM(P3:P11)</f>
        <v>0</v>
      </c>
    </row>
    <row r="65" spans="2:16">
      <c r="B65"/>
      <c r="F65"/>
      <c r="G65"/>
      <c r="H65"/>
      <c r="L65"/>
      <c r="M65"/>
      <c r="N65"/>
      <c r="O65"/>
      <c r="P65" s="92">
        <f>SUM(L64:P64)</f>
        <v>3850000</v>
      </c>
    </row>
  </sheetData>
  <mergeCells count="2">
    <mergeCell ref="L1:P1"/>
    <mergeCell ref="C6:E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00B0F0"/>
  </sheetPr>
  <dimension ref="B1:P52"/>
  <sheetViews>
    <sheetView workbookViewId="0">
      <selection activeCell="M6" sqref="M6"/>
    </sheetView>
  </sheetViews>
  <sheetFormatPr defaultRowHeight="12.75"/>
  <cols>
    <col min="1" max="1" width="0.7109375" customWidth="1"/>
    <col min="2" max="2" width="11.28515625" style="336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4" width="14.140625" style="156" customWidth="1"/>
    <col min="15" max="15" width="14.140625" style="30" customWidth="1"/>
    <col min="16" max="16" width="17.140625" style="30" customWidth="1"/>
  </cols>
  <sheetData>
    <row r="1" spans="2:16">
      <c r="B1" s="336" t="s">
        <v>49</v>
      </c>
      <c r="C1" t="s">
        <v>3</v>
      </c>
      <c r="D1" s="55" t="s">
        <v>769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336" t="s">
        <v>50</v>
      </c>
      <c r="C2" t="s">
        <v>3</v>
      </c>
      <c r="D2" s="158" t="s">
        <v>191</v>
      </c>
      <c r="G2" s="18" t="s">
        <v>53</v>
      </c>
      <c r="H2" s="159"/>
      <c r="L2" s="91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>
      <c r="B3" s="336" t="s">
        <v>11</v>
      </c>
      <c r="C3" t="s">
        <v>3</v>
      </c>
      <c r="D3" s="25" t="s">
        <v>770</v>
      </c>
      <c r="G3" s="18" t="s">
        <v>61</v>
      </c>
      <c r="H3" s="292" t="s">
        <v>771</v>
      </c>
      <c r="L3" s="21">
        <v>500000</v>
      </c>
      <c r="M3" s="156">
        <v>50000</v>
      </c>
      <c r="N3" s="156">
        <v>250000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v>42923</v>
      </c>
      <c r="L4" s="92"/>
      <c r="M4" s="156">
        <v>200000</v>
      </c>
      <c r="N4" s="156">
        <v>200000</v>
      </c>
      <c r="O4" s="92"/>
    </row>
    <row r="5" spans="2:16">
      <c r="G5" s="18"/>
      <c r="M5" s="156">
        <v>50000</v>
      </c>
      <c r="N5" s="156">
        <v>0</v>
      </c>
    </row>
    <row r="6" spans="2:16">
      <c r="C6" s="686" t="s">
        <v>638</v>
      </c>
      <c r="D6" s="686"/>
      <c r="E6" s="686"/>
      <c r="G6" s="89" t="s">
        <v>381</v>
      </c>
      <c r="H6" s="142">
        <f>H4</f>
        <v>42923</v>
      </c>
      <c r="M6" s="156">
        <v>50000</v>
      </c>
    </row>
    <row r="7" spans="2:16">
      <c r="G7" s="24" t="s">
        <v>55</v>
      </c>
      <c r="M7" s="156">
        <v>100000</v>
      </c>
    </row>
    <row r="8" spans="2:16">
      <c r="G8" s="18"/>
      <c r="M8" s="156">
        <v>50000</v>
      </c>
    </row>
    <row r="11" spans="2:16">
      <c r="G11" s="18" t="s">
        <v>56</v>
      </c>
    </row>
    <row r="14" spans="2:16">
      <c r="B14" s="336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336">
        <v>42923</v>
      </c>
      <c r="D15" s="55" t="s">
        <v>614</v>
      </c>
      <c r="F15" s="21">
        <v>500000</v>
      </c>
      <c r="H15" s="21">
        <f>F15-G15</f>
        <v>500000</v>
      </c>
    </row>
    <row r="16" spans="2:16" ht="15" customHeight="1">
      <c r="B16" s="336">
        <v>42923</v>
      </c>
      <c r="D16" s="55" t="s">
        <v>286</v>
      </c>
      <c r="F16" s="21">
        <v>50000</v>
      </c>
      <c r="H16" s="21">
        <f>H15+F16-G16</f>
        <v>550000</v>
      </c>
    </row>
    <row r="17" spans="2:16" ht="15" customHeight="1">
      <c r="B17" s="336">
        <v>42923</v>
      </c>
      <c r="D17" s="55" t="s">
        <v>282</v>
      </c>
      <c r="F17" s="21">
        <v>250000</v>
      </c>
      <c r="H17" s="21">
        <f>H16+F17-G17</f>
        <v>800000</v>
      </c>
    </row>
    <row r="18" spans="2:16" ht="15" customHeight="1">
      <c r="B18" s="336">
        <v>42996</v>
      </c>
      <c r="C18" s="55" t="s">
        <v>286</v>
      </c>
      <c r="D18" s="105" t="s">
        <v>785</v>
      </c>
      <c r="E18" s="324"/>
      <c r="F18" s="326">
        <v>200000</v>
      </c>
      <c r="H18" s="21">
        <f t="shared" ref="H18:H23" si="0">H17+F18-G18</f>
        <v>1000000</v>
      </c>
    </row>
    <row r="19" spans="2:16" ht="15" customHeight="1">
      <c r="B19" s="336">
        <v>42996</v>
      </c>
      <c r="C19" s="55" t="s">
        <v>282</v>
      </c>
      <c r="D19" s="105" t="s">
        <v>785</v>
      </c>
      <c r="E19" s="55"/>
      <c r="F19" s="326">
        <v>200000</v>
      </c>
      <c r="H19" s="21">
        <f t="shared" si="0"/>
        <v>1200000</v>
      </c>
    </row>
    <row r="20" spans="2:16" ht="15" customHeight="1">
      <c r="B20" s="554">
        <v>43654</v>
      </c>
      <c r="D20" s="55" t="s">
        <v>993</v>
      </c>
      <c r="F20" s="21">
        <v>50000</v>
      </c>
      <c r="H20" s="21">
        <f t="shared" si="0"/>
        <v>1250000</v>
      </c>
    </row>
    <row r="21" spans="2:16" ht="15" customHeight="1">
      <c r="B21" s="337">
        <v>43727</v>
      </c>
      <c r="D21" s="55" t="s">
        <v>993</v>
      </c>
      <c r="F21" s="21">
        <v>100000</v>
      </c>
      <c r="H21" s="21">
        <f t="shared" si="0"/>
        <v>1350000</v>
      </c>
    </row>
    <row r="22" spans="2:16" ht="15" customHeight="1">
      <c r="B22" s="554">
        <v>43839</v>
      </c>
      <c r="D22" s="55" t="s">
        <v>993</v>
      </c>
      <c r="F22" s="21">
        <v>50000</v>
      </c>
      <c r="H22" s="21">
        <f t="shared" si="0"/>
        <v>1400000</v>
      </c>
    </row>
    <row r="23" spans="2:16" ht="15" customHeight="1">
      <c r="B23" s="337">
        <v>43995</v>
      </c>
      <c r="D23" s="55" t="s">
        <v>993</v>
      </c>
      <c r="F23" s="21">
        <v>50000</v>
      </c>
      <c r="H23" s="21">
        <f t="shared" si="0"/>
        <v>1450000</v>
      </c>
    </row>
    <row r="24" spans="2:16" ht="15" customHeight="1">
      <c r="B24"/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</row>
    <row r="29" spans="2:16" ht="15" customHeight="1">
      <c r="B29"/>
    </row>
    <row r="30" spans="2:16" ht="15" customHeight="1">
      <c r="B30"/>
    </row>
    <row r="31" spans="2:16" ht="15" customHeight="1">
      <c r="B31"/>
    </row>
    <row r="32" spans="2:16">
      <c r="B32"/>
      <c r="F32"/>
      <c r="G32"/>
      <c r="H32"/>
      <c r="L32"/>
      <c r="M32" s="291"/>
      <c r="N32" s="291"/>
      <c r="O32"/>
      <c r="P32"/>
    </row>
    <row r="33" spans="2:16">
      <c r="B33"/>
      <c r="F33"/>
      <c r="G33"/>
      <c r="H33"/>
      <c r="L33"/>
      <c r="M33" s="291"/>
      <c r="N33" s="291"/>
      <c r="O33"/>
      <c r="P33"/>
    </row>
    <row r="34" spans="2:16">
      <c r="B34"/>
      <c r="F34"/>
      <c r="G34"/>
      <c r="H34"/>
      <c r="L34"/>
      <c r="M34" s="291"/>
      <c r="N34" s="291"/>
      <c r="O34"/>
      <c r="P34"/>
    </row>
    <row r="35" spans="2:16">
      <c r="B35"/>
      <c r="F35"/>
      <c r="G35"/>
      <c r="H35"/>
      <c r="L35"/>
      <c r="M35" s="291"/>
      <c r="N35" s="291"/>
      <c r="O35"/>
      <c r="P35"/>
    </row>
    <row r="36" spans="2:16">
      <c r="B36"/>
      <c r="F36"/>
      <c r="G36"/>
      <c r="H36"/>
      <c r="L36"/>
      <c r="M36" s="291"/>
      <c r="N36" s="291"/>
      <c r="O36"/>
      <c r="P36"/>
    </row>
    <row r="37" spans="2:16">
      <c r="B37"/>
      <c r="F37"/>
      <c r="G37"/>
      <c r="H37"/>
      <c r="L37"/>
      <c r="M37" s="291"/>
      <c r="N37" s="291"/>
      <c r="O37"/>
      <c r="P37"/>
    </row>
    <row r="38" spans="2:16">
      <c r="B38"/>
      <c r="F38"/>
      <c r="G38"/>
      <c r="H38"/>
      <c r="L38"/>
      <c r="M38" s="291"/>
      <c r="N38" s="291"/>
      <c r="O38"/>
      <c r="P38"/>
    </row>
    <row r="39" spans="2:16">
      <c r="B39"/>
      <c r="F39"/>
      <c r="G39"/>
      <c r="H39"/>
      <c r="L39"/>
      <c r="M39" s="291"/>
      <c r="N39" s="291"/>
      <c r="O39"/>
      <c r="P39"/>
    </row>
    <row r="40" spans="2:16">
      <c r="B40"/>
      <c r="F40"/>
      <c r="G40"/>
      <c r="H40"/>
      <c r="L40"/>
      <c r="M40" s="291"/>
      <c r="N40" s="291"/>
      <c r="O40"/>
      <c r="P40"/>
    </row>
    <row r="41" spans="2:16">
      <c r="B41"/>
      <c r="F41"/>
      <c r="G41"/>
      <c r="H41"/>
      <c r="L41"/>
      <c r="M41" s="291"/>
      <c r="N41" s="291"/>
      <c r="O41"/>
      <c r="P41"/>
    </row>
    <row r="42" spans="2:16">
      <c r="B42"/>
      <c r="F42"/>
      <c r="G42"/>
      <c r="H42"/>
      <c r="L42"/>
      <c r="M42" s="291"/>
      <c r="N42" s="291"/>
      <c r="O42"/>
      <c r="P42"/>
    </row>
    <row r="43" spans="2:16">
      <c r="B43"/>
      <c r="F43"/>
      <c r="G43"/>
      <c r="H43"/>
      <c r="L43"/>
      <c r="M43" s="291"/>
      <c r="N43" s="291"/>
      <c r="O43"/>
      <c r="P43"/>
    </row>
    <row r="44" spans="2:16">
      <c r="B44"/>
      <c r="F44"/>
      <c r="G44"/>
      <c r="H44"/>
      <c r="L44"/>
      <c r="M44" s="291"/>
      <c r="N44" s="291"/>
      <c r="O44"/>
      <c r="P44"/>
    </row>
    <row r="49" spans="2:16">
      <c r="B49"/>
      <c r="L49"/>
      <c r="M49" s="291"/>
      <c r="N49" s="291"/>
      <c r="O49"/>
      <c r="P49"/>
    </row>
    <row r="51" spans="2:16">
      <c r="D51" s="76" t="s">
        <v>307</v>
      </c>
      <c r="E51" s="48"/>
      <c r="F51" s="53">
        <f>SUM(F15:F48)</f>
        <v>1450000</v>
      </c>
      <c r="G51" s="53">
        <f>SUM(G15:G48)</f>
        <v>0</v>
      </c>
      <c r="H51" s="77">
        <f>F51-G51</f>
        <v>1450000</v>
      </c>
      <c r="L51" s="92">
        <f>SUM(L3:L11)</f>
        <v>500000</v>
      </c>
      <c r="M51" s="156">
        <f>SUM(M3:M11)</f>
        <v>500000</v>
      </c>
      <c r="N51" s="156">
        <f>SUM(N3:N11)</f>
        <v>450000</v>
      </c>
      <c r="O51" s="92">
        <f>SUM(O3:O11)</f>
        <v>0</v>
      </c>
      <c r="P51" s="92">
        <f>SUM(P3:P11)</f>
        <v>0</v>
      </c>
    </row>
    <row r="52" spans="2:16">
      <c r="P52" s="92">
        <f>SUM(L51:P51)</f>
        <v>1450000</v>
      </c>
    </row>
  </sheetData>
  <mergeCells count="2">
    <mergeCell ref="L1:P1"/>
    <mergeCell ref="C6:E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14">
    <tabColor rgb="FF00FF00"/>
  </sheetPr>
  <dimension ref="B1:P73"/>
  <sheetViews>
    <sheetView zoomScale="90" zoomScaleNormal="90" workbookViewId="0">
      <selection activeCell="N27" sqref="N27"/>
    </sheetView>
  </sheetViews>
  <sheetFormatPr defaultRowHeight="12.75"/>
  <cols>
    <col min="1" max="1" width="0.140625" customWidth="1"/>
    <col min="2" max="2" width="15.140625" style="19" customWidth="1"/>
    <col min="3" max="3" width="1.85546875" customWidth="1"/>
    <col min="5" max="5" width="12.28515625" customWidth="1"/>
    <col min="6" max="6" width="12" style="21" customWidth="1"/>
    <col min="7" max="7" width="13.5703125" style="21" customWidth="1"/>
    <col min="8" max="8" width="12.5703125" style="21" customWidth="1"/>
    <col min="9" max="9" width="5" customWidth="1"/>
    <col min="12" max="14" width="14.140625" style="156" customWidth="1"/>
    <col min="15" max="15" width="14.140625" style="30" customWidth="1"/>
    <col min="16" max="16" width="17.140625" style="30" customWidth="1"/>
  </cols>
  <sheetData>
    <row r="1" spans="2:16" s="30" customFormat="1">
      <c r="B1" s="29" t="s">
        <v>49</v>
      </c>
      <c r="C1" s="30" t="s">
        <v>3</v>
      </c>
      <c r="D1" s="450" t="s">
        <v>914</v>
      </c>
      <c r="F1" s="31"/>
      <c r="G1" s="52" t="s">
        <v>60</v>
      </c>
      <c r="H1" s="31"/>
      <c r="L1" s="679" t="s">
        <v>337</v>
      </c>
      <c r="M1" s="679"/>
      <c r="N1" s="679"/>
      <c r="O1" s="679"/>
      <c r="P1" s="679"/>
    </row>
    <row r="2" spans="2:16" s="30" customFormat="1">
      <c r="B2" s="29" t="s">
        <v>50</v>
      </c>
      <c r="C2" s="30" t="s">
        <v>3</v>
      </c>
      <c r="D2" s="503" t="s">
        <v>192</v>
      </c>
      <c r="F2" s="31"/>
      <c r="G2" s="32" t="s">
        <v>53</v>
      </c>
      <c r="H2" s="31"/>
      <c r="L2" s="155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 s="30" customFormat="1">
      <c r="B3" s="29" t="s">
        <v>11</v>
      </c>
      <c r="C3" s="30" t="s">
        <v>3</v>
      </c>
      <c r="D3" s="451" t="s">
        <v>915</v>
      </c>
      <c r="F3" s="31"/>
      <c r="G3" s="32" t="s">
        <v>61</v>
      </c>
      <c r="H3" s="31"/>
      <c r="L3" s="156">
        <f>F15</f>
        <v>500000</v>
      </c>
      <c r="M3" s="156">
        <v>50000</v>
      </c>
      <c r="N3" s="156">
        <v>50000</v>
      </c>
      <c r="O3" s="92">
        <v>0</v>
      </c>
    </row>
    <row r="4" spans="2:16" s="30" customFormat="1">
      <c r="B4" s="29"/>
      <c r="D4" s="30" t="s">
        <v>52</v>
      </c>
      <c r="F4" s="31"/>
      <c r="G4" s="32" t="s">
        <v>118</v>
      </c>
      <c r="H4" s="31"/>
      <c r="L4" s="156"/>
      <c r="M4" s="156">
        <v>50000</v>
      </c>
      <c r="N4" s="156">
        <v>50000</v>
      </c>
      <c r="O4" s="92"/>
    </row>
    <row r="5" spans="2:16" s="30" customFormat="1">
      <c r="B5" s="29"/>
      <c r="F5" s="31"/>
      <c r="G5" s="32"/>
      <c r="H5" s="31"/>
      <c r="L5" s="156"/>
      <c r="M5" s="156">
        <v>50000</v>
      </c>
      <c r="N5" s="156">
        <v>50000</v>
      </c>
    </row>
    <row r="6" spans="2:16" s="30" customFormat="1">
      <c r="B6" s="29"/>
      <c r="F6" s="31"/>
      <c r="G6" s="32" t="s">
        <v>119</v>
      </c>
      <c r="H6" s="31"/>
      <c r="L6" s="156"/>
      <c r="M6" s="156">
        <v>50000</v>
      </c>
      <c r="N6" s="156">
        <v>50000</v>
      </c>
    </row>
    <row r="7" spans="2:16" s="30" customFormat="1">
      <c r="B7" s="29"/>
      <c r="F7" s="31"/>
      <c r="G7" s="33" t="s">
        <v>55</v>
      </c>
      <c r="H7" s="31"/>
      <c r="L7" s="156"/>
      <c r="M7" s="156">
        <v>50000</v>
      </c>
      <c r="N7" s="156">
        <v>50000</v>
      </c>
    </row>
    <row r="8" spans="2:16" s="30" customFormat="1">
      <c r="B8" s="29"/>
      <c r="F8" s="31"/>
      <c r="G8" s="32"/>
      <c r="H8" s="31"/>
      <c r="L8" s="156"/>
      <c r="M8" s="156">
        <v>50000</v>
      </c>
      <c r="N8" s="156">
        <v>50000</v>
      </c>
    </row>
    <row r="9" spans="2:16" s="30" customFormat="1">
      <c r="B9" s="29"/>
      <c r="F9" s="31"/>
      <c r="G9" s="31"/>
      <c r="H9" s="31"/>
      <c r="L9" s="156"/>
      <c r="M9" s="156">
        <v>50000</v>
      </c>
      <c r="N9" s="156">
        <v>50000</v>
      </c>
    </row>
    <row r="10" spans="2:16" s="30" customFormat="1">
      <c r="B10" s="29"/>
      <c r="F10" s="31"/>
      <c r="G10" s="31"/>
      <c r="H10" s="31"/>
      <c r="L10" s="156"/>
      <c r="M10" s="156">
        <v>50000</v>
      </c>
      <c r="N10" s="156">
        <v>75000</v>
      </c>
    </row>
    <row r="11" spans="2:16" s="30" customFormat="1">
      <c r="B11" s="29"/>
      <c r="F11" s="31"/>
      <c r="G11" s="32" t="s">
        <v>56</v>
      </c>
      <c r="H11" s="31"/>
      <c r="L11" s="156"/>
      <c r="M11" s="156">
        <v>50000</v>
      </c>
      <c r="N11" s="156">
        <v>75000</v>
      </c>
    </row>
    <row r="12" spans="2:16" s="30" customFormat="1">
      <c r="B12" s="29"/>
      <c r="F12" s="31"/>
      <c r="G12" s="31"/>
      <c r="H12" s="31"/>
      <c r="L12" s="156"/>
      <c r="M12" s="156">
        <v>50000</v>
      </c>
      <c r="N12" s="156">
        <v>475000</v>
      </c>
    </row>
    <row r="13" spans="2:16" s="30" customFormat="1">
      <c r="B13" s="29"/>
      <c r="F13" s="31"/>
      <c r="G13" s="31"/>
      <c r="H13" s="31"/>
      <c r="L13" s="156"/>
      <c r="M13" s="156">
        <v>50000</v>
      </c>
      <c r="N13" s="156">
        <v>75000</v>
      </c>
    </row>
    <row r="14" spans="2:16" s="30" customFormat="1">
      <c r="B14" s="29" t="s">
        <v>57</v>
      </c>
      <c r="D14" s="30" t="s">
        <v>58</v>
      </c>
      <c r="F14" s="34" t="s">
        <v>87</v>
      </c>
      <c r="G14" s="34" t="s">
        <v>88</v>
      </c>
      <c r="H14" s="34" t="s">
        <v>89</v>
      </c>
      <c r="L14" s="156"/>
      <c r="M14" s="156">
        <v>50000</v>
      </c>
      <c r="N14" s="156">
        <v>75000</v>
      </c>
    </row>
    <row r="15" spans="2:16" s="30" customFormat="1" ht="15" customHeight="1">
      <c r="B15" s="29">
        <v>43397</v>
      </c>
      <c r="D15" s="30" t="s">
        <v>59</v>
      </c>
      <c r="F15" s="31">
        <v>500000</v>
      </c>
      <c r="G15" s="35"/>
      <c r="H15" s="31">
        <f>F15-G15</f>
        <v>500000</v>
      </c>
      <c r="L15" s="156"/>
      <c r="M15" s="156">
        <v>50000</v>
      </c>
      <c r="N15" s="156">
        <v>75000</v>
      </c>
    </row>
    <row r="16" spans="2:16" s="30" customFormat="1" ht="15" customHeight="1">
      <c r="B16" s="29">
        <v>43424</v>
      </c>
      <c r="D16" s="90" t="s">
        <v>1041</v>
      </c>
      <c r="F16" s="31">
        <v>100000</v>
      </c>
      <c r="G16" s="31"/>
      <c r="H16" s="31">
        <f t="shared" ref="H16:H38" si="0">H15+F16-G16</f>
        <v>600000</v>
      </c>
      <c r="L16" s="156"/>
      <c r="M16" s="156">
        <v>50000</v>
      </c>
      <c r="N16" s="156">
        <v>75000</v>
      </c>
    </row>
    <row r="17" spans="2:14" s="30" customFormat="1" ht="15" customHeight="1">
      <c r="B17" s="29">
        <v>43446</v>
      </c>
      <c r="D17" s="90" t="s">
        <v>1041</v>
      </c>
      <c r="F17" s="31">
        <v>100000</v>
      </c>
      <c r="G17" s="31"/>
      <c r="H17" s="31">
        <f t="shared" si="0"/>
        <v>700000</v>
      </c>
      <c r="L17" s="156"/>
      <c r="M17" s="156">
        <v>50000</v>
      </c>
      <c r="N17" s="156">
        <v>75000</v>
      </c>
    </row>
    <row r="18" spans="2:14" ht="15" customHeight="1">
      <c r="B18" s="19">
        <v>43474</v>
      </c>
      <c r="D18" s="90" t="s">
        <v>1041</v>
      </c>
      <c r="E18" s="30"/>
      <c r="F18" s="31">
        <v>100000</v>
      </c>
      <c r="H18" s="31">
        <f t="shared" si="0"/>
        <v>800000</v>
      </c>
      <c r="M18" s="156">
        <v>50000</v>
      </c>
      <c r="N18" s="156">
        <v>75000</v>
      </c>
    </row>
    <row r="19" spans="2:14" ht="15" customHeight="1">
      <c r="B19" s="19">
        <v>43508</v>
      </c>
      <c r="D19" s="90" t="s">
        <v>1041</v>
      </c>
      <c r="F19" s="21">
        <v>100000</v>
      </c>
      <c r="H19" s="31">
        <f t="shared" si="0"/>
        <v>900000</v>
      </c>
      <c r="M19" s="156">
        <v>50000</v>
      </c>
      <c r="N19" s="631"/>
    </row>
    <row r="20" spans="2:14" ht="15" customHeight="1">
      <c r="B20" s="554">
        <v>43542</v>
      </c>
      <c r="D20" s="90" t="s">
        <v>1041</v>
      </c>
      <c r="F20" s="21">
        <v>100000</v>
      </c>
      <c r="H20" s="31">
        <f t="shared" si="0"/>
        <v>1000000</v>
      </c>
      <c r="M20" s="156">
        <v>50000</v>
      </c>
      <c r="N20" s="156">
        <v>75000</v>
      </c>
    </row>
    <row r="21" spans="2:14" ht="15" customHeight="1">
      <c r="B21" s="19">
        <v>43640</v>
      </c>
      <c r="D21" s="90" t="s">
        <v>1041</v>
      </c>
      <c r="F21" s="21">
        <v>100000</v>
      </c>
      <c r="H21" s="31">
        <f t="shared" si="0"/>
        <v>1100000</v>
      </c>
      <c r="M21" s="156">
        <v>50000</v>
      </c>
      <c r="N21" s="156">
        <v>275000</v>
      </c>
    </row>
    <row r="22" spans="2:14" ht="15" customHeight="1">
      <c r="B22" s="19">
        <v>43662</v>
      </c>
      <c r="D22" s="90" t="s">
        <v>1041</v>
      </c>
      <c r="F22" s="21">
        <v>100000</v>
      </c>
      <c r="H22" s="31">
        <f t="shared" si="0"/>
        <v>1200000</v>
      </c>
      <c r="M22" s="156">
        <v>50000</v>
      </c>
      <c r="N22" s="156">
        <v>50000</v>
      </c>
    </row>
    <row r="23" spans="2:14" ht="15" customHeight="1">
      <c r="B23" s="19">
        <v>43689</v>
      </c>
      <c r="D23" s="90" t="s">
        <v>1041</v>
      </c>
      <c r="F23" s="21">
        <v>125000</v>
      </c>
      <c r="H23" s="31">
        <f t="shared" si="0"/>
        <v>1325000</v>
      </c>
      <c r="M23" s="156">
        <v>50000</v>
      </c>
      <c r="N23" s="156">
        <v>150000</v>
      </c>
    </row>
    <row r="24" spans="2:14" ht="15" customHeight="1">
      <c r="B24" s="554">
        <v>43722</v>
      </c>
      <c r="D24" s="90" t="s">
        <v>1041</v>
      </c>
      <c r="F24" s="21">
        <v>125000</v>
      </c>
      <c r="H24" s="31">
        <f t="shared" si="0"/>
        <v>1450000</v>
      </c>
      <c r="M24" s="156">
        <v>50000</v>
      </c>
      <c r="N24" s="156">
        <v>95000</v>
      </c>
    </row>
    <row r="25" spans="2:14" ht="15" customHeight="1">
      <c r="B25" s="336">
        <v>43753</v>
      </c>
      <c r="D25" s="90" t="s">
        <v>1041</v>
      </c>
      <c r="F25" s="161">
        <v>525000</v>
      </c>
      <c r="H25" s="31">
        <f t="shared" si="0"/>
        <v>1975000</v>
      </c>
      <c r="M25" s="156">
        <v>50000</v>
      </c>
      <c r="N25" s="156">
        <v>350000</v>
      </c>
    </row>
    <row r="26" spans="2:14" ht="15" customHeight="1">
      <c r="B26" s="336">
        <v>43790</v>
      </c>
      <c r="D26" s="90" t="s">
        <v>1041</v>
      </c>
      <c r="F26" s="161">
        <v>125000</v>
      </c>
      <c r="H26" s="31">
        <f t="shared" si="0"/>
        <v>2100000</v>
      </c>
      <c r="M26" s="156">
        <v>50000</v>
      </c>
      <c r="N26" s="156">
        <v>95000</v>
      </c>
    </row>
    <row r="27" spans="2:14" ht="15" customHeight="1">
      <c r="B27" s="336">
        <v>43825</v>
      </c>
      <c r="D27" s="90" t="s">
        <v>1041</v>
      </c>
      <c r="F27" s="161">
        <v>125000</v>
      </c>
      <c r="H27" s="31">
        <f t="shared" si="0"/>
        <v>2225000</v>
      </c>
    </row>
    <row r="28" spans="2:14" ht="15" customHeight="1">
      <c r="B28" s="351">
        <v>43853</v>
      </c>
      <c r="D28" s="90" t="s">
        <v>1041</v>
      </c>
      <c r="F28" s="161">
        <v>125000</v>
      </c>
      <c r="H28" s="31">
        <f t="shared" si="0"/>
        <v>2350000</v>
      </c>
    </row>
    <row r="29" spans="2:14" ht="15" customHeight="1">
      <c r="B29" s="351">
        <v>43884</v>
      </c>
      <c r="D29" s="90" t="s">
        <v>1041</v>
      </c>
      <c r="F29" s="161">
        <v>125000</v>
      </c>
      <c r="H29" s="31">
        <f t="shared" si="0"/>
        <v>2475000</v>
      </c>
    </row>
    <row r="30" spans="2:14" ht="15" customHeight="1">
      <c r="B30" s="351">
        <v>43912</v>
      </c>
      <c r="D30" s="90" t="s">
        <v>1041</v>
      </c>
      <c r="F30" s="161">
        <v>125000</v>
      </c>
      <c r="H30" s="31">
        <f t="shared" si="0"/>
        <v>2600000</v>
      </c>
    </row>
    <row r="31" spans="2:14" ht="15" customHeight="1">
      <c r="B31" s="351">
        <v>43941</v>
      </c>
      <c r="D31" s="90" t="s">
        <v>1041</v>
      </c>
      <c r="F31" s="161">
        <v>125000</v>
      </c>
      <c r="H31" s="31">
        <f t="shared" si="0"/>
        <v>2725000</v>
      </c>
    </row>
    <row r="32" spans="2:14" ht="15" customHeight="1">
      <c r="B32" s="351">
        <v>43947</v>
      </c>
      <c r="D32" s="90" t="s">
        <v>917</v>
      </c>
      <c r="F32" s="21">
        <v>50000</v>
      </c>
      <c r="H32" s="31">
        <f t="shared" si="0"/>
        <v>2775000</v>
      </c>
    </row>
    <row r="33" spans="2:8" ht="15" customHeight="1">
      <c r="B33" s="351">
        <v>43978</v>
      </c>
      <c r="D33" s="90" t="s">
        <v>1041</v>
      </c>
      <c r="F33" s="21">
        <v>125000</v>
      </c>
      <c r="H33" s="31">
        <f t="shared" si="0"/>
        <v>2900000</v>
      </c>
    </row>
    <row r="34" spans="2:8" ht="15" customHeight="1">
      <c r="B34" s="351">
        <v>43988</v>
      </c>
      <c r="D34" s="90" t="s">
        <v>1041</v>
      </c>
      <c r="F34" s="21">
        <v>325000</v>
      </c>
      <c r="H34" s="31">
        <f t="shared" si="0"/>
        <v>3225000</v>
      </c>
    </row>
    <row r="35" spans="2:8" ht="15" customHeight="1">
      <c r="B35" s="351">
        <v>44033</v>
      </c>
      <c r="D35" s="90" t="s">
        <v>1041</v>
      </c>
      <c r="F35" s="21">
        <v>100000</v>
      </c>
      <c r="H35" s="31">
        <f t="shared" si="0"/>
        <v>3325000</v>
      </c>
    </row>
    <row r="36" spans="2:8" ht="15" customHeight="1">
      <c r="B36" s="351">
        <v>44047</v>
      </c>
      <c r="D36" s="90" t="s">
        <v>1041</v>
      </c>
      <c r="F36" s="21">
        <v>200000</v>
      </c>
      <c r="H36" s="31">
        <f t="shared" si="0"/>
        <v>3525000</v>
      </c>
    </row>
    <row r="37" spans="2:8" ht="15" customHeight="1">
      <c r="B37" s="351">
        <v>44077</v>
      </c>
      <c r="D37" s="90" t="s">
        <v>1041</v>
      </c>
      <c r="F37" s="21">
        <v>145000</v>
      </c>
      <c r="H37" s="31">
        <f t="shared" si="0"/>
        <v>3670000</v>
      </c>
    </row>
    <row r="38" spans="2:8" ht="15" customHeight="1">
      <c r="B38" s="351">
        <v>44119</v>
      </c>
      <c r="D38" s="90" t="s">
        <v>1041</v>
      </c>
      <c r="F38" s="21">
        <v>400000</v>
      </c>
      <c r="H38" s="31">
        <f t="shared" si="0"/>
        <v>4070000</v>
      </c>
    </row>
    <row r="39" spans="2:8" ht="15" customHeight="1">
      <c r="B39" s="351">
        <v>44138</v>
      </c>
      <c r="D39" s="90" t="s">
        <v>1041</v>
      </c>
      <c r="F39" s="21">
        <v>145000</v>
      </c>
      <c r="H39" s="31"/>
    </row>
    <row r="40" spans="2:8" ht="15" customHeight="1">
      <c r="B40" s="351"/>
      <c r="D40" s="90"/>
      <c r="H40" s="31"/>
    </row>
    <row r="41" spans="2:8" ht="15" customHeight="1">
      <c r="B41" s="351"/>
      <c r="D41" s="90"/>
      <c r="H41" s="31"/>
    </row>
    <row r="42" spans="2:8" ht="15" customHeight="1">
      <c r="B42" s="351"/>
      <c r="D42" s="90"/>
      <c r="H42" s="31"/>
    </row>
    <row r="43" spans="2:8" ht="15" customHeight="1">
      <c r="B43" s="351"/>
      <c r="D43" s="90"/>
      <c r="H43" s="31"/>
    </row>
    <row r="44" spans="2:8" ht="15" customHeight="1">
      <c r="B44" s="351"/>
      <c r="D44" s="90"/>
      <c r="H44" s="31"/>
    </row>
    <row r="45" spans="2:8" ht="15" customHeight="1">
      <c r="B45" s="351"/>
      <c r="D45" s="90"/>
      <c r="H45" s="31"/>
    </row>
    <row r="46" spans="2:8" ht="15" customHeight="1">
      <c r="B46" s="351"/>
      <c r="D46" s="90"/>
      <c r="H46" s="31"/>
    </row>
    <row r="47" spans="2:8" ht="15" customHeight="1">
      <c r="B47" s="351"/>
      <c r="D47" s="90"/>
      <c r="H47" s="31"/>
    </row>
    <row r="48" spans="2:8" ht="15" customHeight="1">
      <c r="B48" s="351"/>
      <c r="D48" s="90"/>
      <c r="H48" s="31"/>
    </row>
    <row r="49" spans="2:16" ht="15" customHeight="1">
      <c r="B49" s="351"/>
      <c r="D49" s="90"/>
      <c r="H49" s="31"/>
    </row>
    <row r="50" spans="2:16" ht="15" customHeight="1">
      <c r="B50" s="351"/>
    </row>
    <row r="51" spans="2:16" ht="15" customHeight="1">
      <c r="B51" s="351"/>
    </row>
    <row r="52" spans="2:16" ht="15" customHeight="1"/>
    <row r="53" spans="2:16" ht="15" customHeight="1">
      <c r="D53" s="76" t="s">
        <v>307</v>
      </c>
      <c r="E53" s="48"/>
      <c r="F53" s="53">
        <f>SUM(F15:F52)</f>
        <v>4215000</v>
      </c>
      <c r="G53" s="53">
        <f>SUM(G15:G52)</f>
        <v>0</v>
      </c>
      <c r="H53" s="77">
        <f>F53-G53</f>
        <v>4215000</v>
      </c>
      <c r="L53" s="156">
        <f>SUM(L3:L11)</f>
        <v>500000</v>
      </c>
      <c r="M53" s="156">
        <f>SUM(M3:M52)</f>
        <v>1200000</v>
      </c>
      <c r="N53" s="156">
        <f>SUM(N3:N52)</f>
        <v>2515000</v>
      </c>
      <c r="O53" s="92">
        <f>SUM(O3:O11)</f>
        <v>0</v>
      </c>
      <c r="P53" s="92">
        <f>SUM(P3:P11)</f>
        <v>0</v>
      </c>
    </row>
    <row r="54" spans="2:16" ht="15" customHeight="1">
      <c r="P54" s="92">
        <f>SUM(L53:P53)</f>
        <v>4215000</v>
      </c>
    </row>
    <row r="55" spans="2:16" ht="15" customHeight="1">
      <c r="D55" t="s">
        <v>745</v>
      </c>
    </row>
    <row r="56" spans="2:16" ht="15" customHeight="1">
      <c r="H56" s="21" t="s">
        <v>733</v>
      </c>
    </row>
    <row r="57" spans="2:16" ht="15" customHeight="1"/>
    <row r="58" spans="2:16" ht="15" customHeight="1"/>
    <row r="59" spans="2:16" ht="15" customHeight="1"/>
    <row r="60" spans="2:16" ht="15" customHeight="1">
      <c r="H60" s="21" t="str">
        <f>D1</f>
        <v>DANINGSIH</v>
      </c>
    </row>
    <row r="61" spans="2:16" ht="15" customHeight="1"/>
    <row r="62" spans="2:16" ht="15" customHeight="1"/>
    <row r="63" spans="2:16" ht="15" customHeight="1"/>
    <row r="64" spans="2:16" ht="15" customHeight="1"/>
    <row r="65" ht="15" customHeight="1"/>
    <row r="66" ht="15" customHeight="1"/>
    <row r="67" ht="15" customHeight="1"/>
    <row r="68" ht="15" customHeight="1"/>
    <row r="73" ht="15" customHeight="1"/>
  </sheetData>
  <mergeCells count="1">
    <mergeCell ref="L1:P1"/>
  </mergeCells>
  <phoneticPr fontId="7" type="noConversion"/>
  <pageMargins left="0.27" right="0.5" top="0.63" bottom="0.61" header="0.65" footer="0.5"/>
  <pageSetup orientation="portrait" horizontalDpi="4294967294" r:id="rId1"/>
  <headerFooter alignWithMargins="0"/>
  <legacyDrawing r:id="rId2"/>
  <oleObjects>
    <oleObject progId="CorelDRAW.Graphic.11" shapeId="17411" r:id="rId3"/>
    <oleObject progId="CorelDRAW.Graphic.11" shapeId="17412" r:id="rId4"/>
  </oleObjects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00FF00"/>
  </sheetPr>
  <dimension ref="B1:P51"/>
  <sheetViews>
    <sheetView zoomScale="80" zoomScaleNormal="80" workbookViewId="0">
      <selection activeCell="M13" sqref="M13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925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196</v>
      </c>
      <c r="G2" s="18" t="s">
        <v>53</v>
      </c>
      <c r="H2" s="159"/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926</v>
      </c>
      <c r="G3" s="18" t="s">
        <v>61</v>
      </c>
      <c r="H3" s="292">
        <v>8.2306766687000002E-2</v>
      </c>
      <c r="L3" s="21">
        <f>F15</f>
        <v>500000</v>
      </c>
      <c r="M3" s="156">
        <v>50000</v>
      </c>
      <c r="N3" s="92">
        <v>0</v>
      </c>
      <c r="O3" s="92">
        <v>0</v>
      </c>
      <c r="P3" s="92"/>
    </row>
    <row r="4" spans="2:16">
      <c r="D4" s="55"/>
      <c r="G4" s="89" t="s">
        <v>379</v>
      </c>
      <c r="H4" s="141">
        <v>42115</v>
      </c>
      <c r="L4" s="92"/>
      <c r="M4" s="156">
        <v>50000</v>
      </c>
      <c r="N4" s="92"/>
      <c r="O4" s="92"/>
    </row>
    <row r="5" spans="2:16">
      <c r="G5" s="18"/>
      <c r="M5" s="156">
        <v>50000</v>
      </c>
    </row>
    <row r="6" spans="2:16">
      <c r="C6" s="686" t="s">
        <v>927</v>
      </c>
      <c r="D6" s="686"/>
      <c r="E6" s="686"/>
      <c r="G6" s="89" t="s">
        <v>381</v>
      </c>
      <c r="H6" s="142">
        <f>H4</f>
        <v>42115</v>
      </c>
      <c r="M6" s="156">
        <v>50000</v>
      </c>
    </row>
    <row r="7" spans="2:16">
      <c r="G7" s="24" t="s">
        <v>55</v>
      </c>
      <c r="M7" s="156">
        <v>50000</v>
      </c>
    </row>
    <row r="8" spans="2:16">
      <c r="G8" s="18"/>
      <c r="M8" s="156">
        <v>50000</v>
      </c>
    </row>
    <row r="9" spans="2:16">
      <c r="M9" s="156">
        <v>50000</v>
      </c>
    </row>
    <row r="10" spans="2:16">
      <c r="M10" s="156">
        <v>50000</v>
      </c>
    </row>
    <row r="11" spans="2:16">
      <c r="G11" s="18" t="s">
        <v>56</v>
      </c>
      <c r="M11" s="156">
        <v>50000</v>
      </c>
    </row>
    <row r="12" spans="2:16">
      <c r="M12" s="156">
        <v>50000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43440</v>
      </c>
      <c r="D15" s="55" t="s">
        <v>928</v>
      </c>
      <c r="F15" s="21">
        <v>500000</v>
      </c>
      <c r="H15" s="21">
        <f>F15-G15</f>
        <v>500000</v>
      </c>
    </row>
    <row r="16" spans="2:16" ht="15" customHeight="1">
      <c r="B16" s="19">
        <v>43472</v>
      </c>
      <c r="D16" s="55" t="s">
        <v>286</v>
      </c>
      <c r="F16" s="21">
        <v>50000</v>
      </c>
      <c r="H16" s="21">
        <f t="shared" ref="H16:H25" si="0">H15+F16-G16</f>
        <v>550000</v>
      </c>
    </row>
    <row r="17" spans="2:8" ht="15" customHeight="1">
      <c r="B17" s="19">
        <v>43510</v>
      </c>
      <c r="D17" s="55" t="s">
        <v>993</v>
      </c>
      <c r="F17" s="21">
        <v>50000</v>
      </c>
      <c r="H17" s="21">
        <f t="shared" si="0"/>
        <v>600000</v>
      </c>
    </row>
    <row r="18" spans="2:8" ht="15" customHeight="1">
      <c r="B18" s="19">
        <v>43540</v>
      </c>
      <c r="D18" s="55" t="s">
        <v>862</v>
      </c>
      <c r="F18" s="21">
        <v>50000</v>
      </c>
      <c r="H18" s="21">
        <f t="shared" si="0"/>
        <v>650000</v>
      </c>
    </row>
    <row r="19" spans="2:8" ht="15" customHeight="1">
      <c r="B19" s="19">
        <v>43571</v>
      </c>
      <c r="D19" s="55" t="s">
        <v>993</v>
      </c>
      <c r="F19" s="21">
        <v>50000</v>
      </c>
      <c r="H19" s="21">
        <f t="shared" si="0"/>
        <v>700000</v>
      </c>
    </row>
    <row r="20" spans="2:8" ht="15" customHeight="1">
      <c r="B20" s="337">
        <v>43613</v>
      </c>
      <c r="D20" s="55" t="s">
        <v>993</v>
      </c>
      <c r="F20" s="21">
        <v>50000</v>
      </c>
      <c r="H20" s="21">
        <f t="shared" si="0"/>
        <v>750000</v>
      </c>
    </row>
    <row r="21" spans="2:8" ht="15" customHeight="1">
      <c r="B21" s="337">
        <v>43640</v>
      </c>
      <c r="D21" s="55" t="s">
        <v>993</v>
      </c>
      <c r="F21" s="21">
        <v>50000</v>
      </c>
      <c r="H21" s="21">
        <f t="shared" si="0"/>
        <v>800000</v>
      </c>
    </row>
    <row r="22" spans="2:8" ht="15" customHeight="1">
      <c r="B22" s="337">
        <v>43674</v>
      </c>
      <c r="D22" s="55" t="s">
        <v>993</v>
      </c>
      <c r="F22" s="21">
        <v>50000</v>
      </c>
      <c r="H22" s="21">
        <f t="shared" si="0"/>
        <v>850000</v>
      </c>
    </row>
    <row r="23" spans="2:8" ht="15" customHeight="1">
      <c r="B23" s="337">
        <v>43708</v>
      </c>
      <c r="D23" s="55" t="s">
        <v>993</v>
      </c>
      <c r="F23" s="21">
        <v>50000</v>
      </c>
      <c r="H23" s="21">
        <f t="shared" si="0"/>
        <v>900000</v>
      </c>
    </row>
    <row r="24" spans="2:8" ht="15" customHeight="1">
      <c r="B24" s="337">
        <v>43778</v>
      </c>
      <c r="D24" s="55" t="s">
        <v>993</v>
      </c>
      <c r="F24" s="21">
        <v>50000</v>
      </c>
      <c r="H24" s="21">
        <f t="shared" si="0"/>
        <v>950000</v>
      </c>
    </row>
    <row r="25" spans="2:8" ht="15" customHeight="1">
      <c r="B25" s="337">
        <v>43832</v>
      </c>
      <c r="D25" s="55" t="s">
        <v>993</v>
      </c>
      <c r="F25" s="21">
        <v>50000</v>
      </c>
      <c r="H25" s="21">
        <f t="shared" si="0"/>
        <v>1000000</v>
      </c>
    </row>
    <row r="26" spans="2:8" ht="15" customHeight="1">
      <c r="B26"/>
    </row>
    <row r="27" spans="2:8" ht="15" customHeight="1">
      <c r="B27"/>
    </row>
    <row r="28" spans="2:8" ht="15" customHeight="1">
      <c r="B28"/>
    </row>
    <row r="29" spans="2:8" ht="15" customHeight="1">
      <c r="B29"/>
    </row>
    <row r="30" spans="2:8" ht="15" customHeight="1">
      <c r="B30"/>
    </row>
    <row r="31" spans="2:8" ht="15" customHeight="1">
      <c r="B31"/>
    </row>
    <row r="32" spans="2:8" ht="15" customHeight="1">
      <c r="B32"/>
    </row>
    <row r="33" spans="2:16">
      <c r="B33"/>
      <c r="F33"/>
      <c r="G33"/>
      <c r="H33"/>
      <c r="L33"/>
      <c r="M33" s="291"/>
      <c r="N33"/>
      <c r="O33"/>
      <c r="P33"/>
    </row>
    <row r="34" spans="2:16">
      <c r="B34"/>
      <c r="F34"/>
      <c r="G34"/>
      <c r="H34"/>
      <c r="L34"/>
      <c r="M34" s="291"/>
      <c r="N34"/>
      <c r="O34"/>
      <c r="P34"/>
    </row>
    <row r="35" spans="2:16">
      <c r="B35"/>
      <c r="F35"/>
      <c r="G35"/>
      <c r="H35"/>
      <c r="L35"/>
      <c r="M35" s="291"/>
      <c r="N35"/>
      <c r="O35"/>
      <c r="P35"/>
    </row>
    <row r="36" spans="2:16">
      <c r="B36"/>
      <c r="F36"/>
      <c r="G36"/>
      <c r="H36"/>
      <c r="L36"/>
      <c r="M36" s="291"/>
      <c r="N36"/>
      <c r="O36"/>
      <c r="P36"/>
    </row>
    <row r="37" spans="2:16">
      <c r="B37"/>
      <c r="F37"/>
      <c r="G37"/>
      <c r="H37"/>
      <c r="L37"/>
      <c r="M37" s="291"/>
      <c r="N37"/>
      <c r="O37"/>
      <c r="P37"/>
    </row>
    <row r="38" spans="2:16">
      <c r="B38"/>
      <c r="F38"/>
      <c r="G38"/>
      <c r="H38"/>
      <c r="L38"/>
      <c r="M38" s="291"/>
      <c r="N38"/>
      <c r="O38"/>
      <c r="P38"/>
    </row>
    <row r="39" spans="2:16">
      <c r="B39"/>
      <c r="F39"/>
      <c r="G39"/>
      <c r="H39"/>
      <c r="L39"/>
      <c r="M39" s="291"/>
      <c r="N39"/>
      <c r="O39"/>
      <c r="P39"/>
    </row>
    <row r="40" spans="2:16">
      <c r="B40"/>
      <c r="F40"/>
      <c r="G40"/>
      <c r="H40"/>
      <c r="L40"/>
      <c r="M40" s="291"/>
      <c r="N40"/>
      <c r="O40"/>
      <c r="P40"/>
    </row>
    <row r="41" spans="2:16">
      <c r="B41"/>
      <c r="F41"/>
      <c r="G41"/>
      <c r="H41"/>
      <c r="L41"/>
      <c r="M41" s="291"/>
      <c r="N41"/>
      <c r="O41"/>
      <c r="P41"/>
    </row>
    <row r="42" spans="2:16">
      <c r="B42"/>
      <c r="F42"/>
      <c r="G42"/>
      <c r="H42"/>
      <c r="L42"/>
      <c r="M42" s="291"/>
      <c r="N42"/>
      <c r="O42"/>
      <c r="P42"/>
    </row>
    <row r="43" spans="2:16">
      <c r="B43"/>
      <c r="F43"/>
      <c r="G43"/>
      <c r="H43"/>
      <c r="L43"/>
      <c r="M43" s="291"/>
      <c r="N43"/>
      <c r="O43"/>
      <c r="P43"/>
    </row>
    <row r="44" spans="2:16">
      <c r="B44"/>
      <c r="F44"/>
      <c r="G44"/>
      <c r="H44"/>
      <c r="L44"/>
      <c r="M44" s="291"/>
      <c r="N44"/>
      <c r="O44"/>
      <c r="P44"/>
    </row>
    <row r="45" spans="2:16">
      <c r="B45"/>
      <c r="F45"/>
      <c r="G45"/>
      <c r="H45"/>
      <c r="L45"/>
      <c r="M45" s="291"/>
      <c r="N45"/>
      <c r="O45"/>
      <c r="P45"/>
    </row>
    <row r="50" spans="2:16">
      <c r="B50"/>
      <c r="D50" s="76" t="s">
        <v>307</v>
      </c>
      <c r="E50" s="48"/>
      <c r="F50" s="53">
        <f>SUM(F15:F49)</f>
        <v>1000000</v>
      </c>
      <c r="G50" s="53">
        <f>SUM(G15:G49)</f>
        <v>0</v>
      </c>
      <c r="H50" s="77">
        <f>F50-G50</f>
        <v>1000000</v>
      </c>
      <c r="L50" s="92">
        <f>SUM(L3:L11)</f>
        <v>500000</v>
      </c>
      <c r="M50" s="156">
        <f>SUM(M3:M49)</f>
        <v>500000</v>
      </c>
      <c r="N50" s="92">
        <f t="shared" ref="N50:O50" si="1">SUM(N3:N49)</f>
        <v>0</v>
      </c>
      <c r="O50" s="92">
        <f t="shared" si="1"/>
        <v>0</v>
      </c>
      <c r="P50" s="92">
        <f>SUM(P3:P11)</f>
        <v>0</v>
      </c>
    </row>
    <row r="51" spans="2:16">
      <c r="P51" s="92">
        <f>SUM(L50:P50)</f>
        <v>1000000</v>
      </c>
    </row>
  </sheetData>
  <mergeCells count="2">
    <mergeCell ref="L1:P1"/>
    <mergeCell ref="C6:E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00FF00"/>
  </sheetPr>
  <dimension ref="B1:P51"/>
  <sheetViews>
    <sheetView topLeftCell="A19" workbookViewId="0">
      <selection activeCell="O4" sqref="O4"/>
    </sheetView>
  </sheetViews>
  <sheetFormatPr defaultRowHeight="12.75"/>
  <cols>
    <col min="1" max="1" width="1.14062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4" width="14.140625" style="156" customWidth="1"/>
    <col min="15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929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308" t="s">
        <v>197</v>
      </c>
      <c r="G2" s="18" t="s">
        <v>53</v>
      </c>
      <c r="L2" s="91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930</v>
      </c>
      <c r="G3" s="18" t="s">
        <v>61</v>
      </c>
      <c r="H3"/>
      <c r="L3" s="92">
        <f>F15</f>
        <v>500000</v>
      </c>
      <c r="M3" s="156">
        <f>F16</f>
        <v>100000</v>
      </c>
      <c r="N3" s="156">
        <v>200000</v>
      </c>
      <c r="O3" s="21">
        <v>0</v>
      </c>
      <c r="P3" s="92"/>
    </row>
    <row r="4" spans="2:16">
      <c r="D4" s="55" t="s">
        <v>931</v>
      </c>
      <c r="G4" s="307" t="s">
        <v>379</v>
      </c>
      <c r="H4" s="142">
        <f>B15</f>
        <v>43440</v>
      </c>
      <c r="M4" s="156">
        <v>100000</v>
      </c>
      <c r="N4" s="156">
        <v>100000</v>
      </c>
      <c r="O4" s="92"/>
    </row>
    <row r="5" spans="2:16">
      <c r="G5" s="18"/>
      <c r="M5" s="156">
        <v>100000</v>
      </c>
    </row>
    <row r="6" spans="2:16">
      <c r="G6" s="307" t="s">
        <v>933</v>
      </c>
      <c r="H6" s="142">
        <f>H4</f>
        <v>43440</v>
      </c>
    </row>
    <row r="7" spans="2:16">
      <c r="G7" s="24" t="s">
        <v>55</v>
      </c>
    </row>
    <row r="8" spans="2:16">
      <c r="G8" s="18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43440</v>
      </c>
      <c r="D15" s="55" t="s">
        <v>932</v>
      </c>
      <c r="F15" s="21">
        <v>500000</v>
      </c>
      <c r="G15" s="22"/>
      <c r="H15" s="21">
        <f>F15-G15</f>
        <v>500000</v>
      </c>
    </row>
    <row r="16" spans="2:16" ht="15" customHeight="1">
      <c r="B16" s="19">
        <v>43499</v>
      </c>
      <c r="D16" t="s">
        <v>286</v>
      </c>
      <c r="F16" s="21">
        <v>100000</v>
      </c>
      <c r="H16" s="21">
        <f>H15+F16-G16</f>
        <v>600000</v>
      </c>
    </row>
    <row r="17" spans="2:8" ht="15" customHeight="1">
      <c r="B17" s="19">
        <v>43499</v>
      </c>
      <c r="D17" t="s">
        <v>282</v>
      </c>
      <c r="F17" s="21">
        <v>200000</v>
      </c>
      <c r="H17" s="21">
        <f>H16+F17-G17</f>
        <v>800000</v>
      </c>
    </row>
    <row r="18" spans="2:8" ht="15" customHeight="1">
      <c r="B18" s="19">
        <v>43550</v>
      </c>
      <c r="D18" s="55" t="s">
        <v>1015</v>
      </c>
      <c r="F18" s="21">
        <v>200000</v>
      </c>
      <c r="H18" s="21">
        <f>H17+F18-G18</f>
        <v>1000000</v>
      </c>
    </row>
    <row r="19" spans="2:8" ht="15" customHeight="1">
      <c r="B19" s="19">
        <v>43608</v>
      </c>
      <c r="D19" s="55" t="s">
        <v>286</v>
      </c>
      <c r="F19" s="21">
        <v>100000</v>
      </c>
      <c r="H19" s="21">
        <f>H18+F19-G19</f>
        <v>1100000</v>
      </c>
    </row>
    <row r="20" spans="2:8" ht="15" customHeight="1">
      <c r="H20" s="21">
        <f>H19+F20-G20</f>
        <v>1100000</v>
      </c>
    </row>
    <row r="21" spans="2:8" ht="15" customHeight="1"/>
    <row r="22" spans="2:8" ht="15" customHeight="1"/>
    <row r="23" spans="2:8" ht="15" customHeight="1"/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1100000</v>
      </c>
      <c r="G50" s="53">
        <f>SUM(G15:G49)</f>
        <v>0</v>
      </c>
      <c r="H50" s="77">
        <f>F50-G50</f>
        <v>1100000</v>
      </c>
      <c r="L50" s="92">
        <f>SUM(L3:L11)</f>
        <v>500000</v>
      </c>
      <c r="M50" s="156">
        <f>SUM(M3:M11)</f>
        <v>300000</v>
      </c>
      <c r="N50" s="156">
        <f>SUM(N3:N11)</f>
        <v>300000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1100000</v>
      </c>
    </row>
  </sheetData>
  <mergeCells count="1">
    <mergeCell ref="L1:P1"/>
  </mergeCells>
  <phoneticPr fontId="7" type="noConversion"/>
  <pageMargins left="0.35433070866141736" right="0.74803149606299213" top="0.39370078740157483" bottom="0.98425196850393704" header="0.51181102362204722" footer="0.51181102362204722"/>
  <pageSetup paperSize="9" scale="90" orientation="landscape" horizontalDpi="4294967293" verticalDpi="0" r:id="rId1"/>
  <headerFooter alignWithMargins="0"/>
  <legacyDrawing r:id="rId2"/>
  <oleObjects>
    <oleObject progId="CorelDRAW.Graphic.11" shapeId="38913" r:id="rId3"/>
    <oleObject progId="CorelDRAW.Graphic.11" shapeId="38914" r:id="rId4"/>
  </oleObjects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00FF00"/>
  </sheetPr>
  <dimension ref="B1:P49"/>
  <sheetViews>
    <sheetView zoomScale="80" zoomScaleNormal="80" workbookViewId="0">
      <selection activeCell="M49" sqref="M49"/>
    </sheetView>
  </sheetViews>
  <sheetFormatPr defaultRowHeight="12.75"/>
  <cols>
    <col min="1" max="1" width="0.7109375" customWidth="1"/>
    <col min="2" max="2" width="11.28515625" style="336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3" width="14.140625" style="30" customWidth="1"/>
    <col min="14" max="14" width="14.140625" style="156" customWidth="1"/>
    <col min="15" max="15" width="14.140625" style="30" customWidth="1"/>
    <col min="16" max="16" width="17.140625" style="30" customWidth="1"/>
  </cols>
  <sheetData>
    <row r="1" spans="2:16">
      <c r="B1" s="336" t="s">
        <v>49</v>
      </c>
      <c r="C1" t="s">
        <v>3</v>
      </c>
      <c r="D1" s="55" t="s">
        <v>939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336" t="s">
        <v>50</v>
      </c>
      <c r="C2" t="s">
        <v>3</v>
      </c>
      <c r="D2" s="158" t="s">
        <v>198</v>
      </c>
      <c r="G2" s="18" t="s">
        <v>53</v>
      </c>
      <c r="H2" s="159"/>
      <c r="L2" s="91" t="s">
        <v>338</v>
      </c>
      <c r="M2" s="91" t="s">
        <v>339</v>
      </c>
      <c r="N2" s="155" t="s">
        <v>340</v>
      </c>
      <c r="O2" s="91" t="s">
        <v>393</v>
      </c>
      <c r="P2" s="91" t="s">
        <v>341</v>
      </c>
    </row>
    <row r="3" spans="2:16">
      <c r="B3" s="336" t="s">
        <v>11</v>
      </c>
      <c r="C3" t="s">
        <v>3</v>
      </c>
      <c r="D3" s="25" t="s">
        <v>940</v>
      </c>
      <c r="G3" s="18" t="s">
        <v>61</v>
      </c>
      <c r="H3" s="292"/>
      <c r="L3" s="21">
        <v>500000</v>
      </c>
      <c r="M3" s="156">
        <v>100000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43466</v>
      </c>
      <c r="L4" s="92"/>
      <c r="M4" s="156">
        <v>50000</v>
      </c>
      <c r="O4" s="92"/>
    </row>
    <row r="5" spans="2:16">
      <c r="G5" s="18"/>
      <c r="M5" s="156">
        <v>100000</v>
      </c>
    </row>
    <row r="6" spans="2:16">
      <c r="C6" s="686" t="s">
        <v>472</v>
      </c>
      <c r="D6" s="686"/>
      <c r="E6" s="686"/>
      <c r="G6" s="89" t="s">
        <v>381</v>
      </c>
      <c r="H6" s="142">
        <f>H4</f>
        <v>43466</v>
      </c>
      <c r="M6" s="156">
        <v>50000</v>
      </c>
    </row>
    <row r="7" spans="2:16">
      <c r="G7" s="24" t="s">
        <v>55</v>
      </c>
      <c r="M7" s="156">
        <v>50000</v>
      </c>
    </row>
    <row r="8" spans="2:16">
      <c r="G8" s="18"/>
      <c r="M8" s="156">
        <v>50000</v>
      </c>
    </row>
    <row r="9" spans="2:16">
      <c r="M9" s="156">
        <v>50000</v>
      </c>
    </row>
    <row r="10" spans="2:16">
      <c r="M10" s="156">
        <v>50000</v>
      </c>
    </row>
    <row r="11" spans="2:16">
      <c r="G11" s="18" t="s">
        <v>56</v>
      </c>
      <c r="M11" s="156">
        <v>150000</v>
      </c>
    </row>
    <row r="12" spans="2:16">
      <c r="M12" s="156">
        <v>50000</v>
      </c>
    </row>
    <row r="13" spans="2:16">
      <c r="M13" s="156"/>
    </row>
    <row r="14" spans="2:16">
      <c r="B14" s="336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/>
    </row>
    <row r="15" spans="2:16" ht="15" customHeight="1">
      <c r="B15" s="336">
        <v>43466</v>
      </c>
      <c r="D15" s="55" t="s">
        <v>614</v>
      </c>
      <c r="F15" s="21">
        <v>500000</v>
      </c>
      <c r="H15" s="21">
        <f>F15-G15</f>
        <v>500000</v>
      </c>
      <c r="M15" s="156"/>
    </row>
    <row r="16" spans="2:16" ht="15" customHeight="1">
      <c r="B16" s="336">
        <v>43524</v>
      </c>
      <c r="D16" s="55" t="s">
        <v>996</v>
      </c>
      <c r="F16" s="21">
        <v>100000</v>
      </c>
      <c r="H16" s="21">
        <f t="shared" ref="H16:H25" si="0">H15+F16-G16</f>
        <v>600000</v>
      </c>
      <c r="M16" s="156"/>
    </row>
    <row r="17" spans="2:16" ht="15" customHeight="1">
      <c r="B17" s="336">
        <v>43551</v>
      </c>
      <c r="D17" s="55" t="s">
        <v>862</v>
      </c>
      <c r="F17" s="21">
        <v>50000</v>
      </c>
      <c r="H17" s="21">
        <f t="shared" si="0"/>
        <v>650000</v>
      </c>
      <c r="M17" s="156"/>
    </row>
    <row r="18" spans="2:16" ht="15" customHeight="1">
      <c r="B18" s="337">
        <v>43625</v>
      </c>
      <c r="D18" s="55" t="s">
        <v>993</v>
      </c>
      <c r="F18" s="21">
        <v>100000</v>
      </c>
      <c r="H18" s="21">
        <f t="shared" si="0"/>
        <v>750000</v>
      </c>
      <c r="M18" s="156"/>
    </row>
    <row r="19" spans="2:16" ht="15" customHeight="1">
      <c r="B19" s="337">
        <v>43661</v>
      </c>
      <c r="D19" s="55" t="s">
        <v>993</v>
      </c>
      <c r="F19" s="21">
        <v>50000</v>
      </c>
      <c r="H19" s="21">
        <f t="shared" si="0"/>
        <v>800000</v>
      </c>
      <c r="M19" s="156"/>
    </row>
    <row r="20" spans="2:16" ht="15" customHeight="1">
      <c r="B20" s="337">
        <v>43691</v>
      </c>
      <c r="D20" s="55" t="s">
        <v>993</v>
      </c>
      <c r="F20" s="21">
        <v>50000</v>
      </c>
      <c r="H20" s="21">
        <f t="shared" si="0"/>
        <v>850000</v>
      </c>
      <c r="M20" s="156"/>
    </row>
    <row r="21" spans="2:16" ht="15" customHeight="1">
      <c r="B21" s="337">
        <v>43744</v>
      </c>
      <c r="D21" s="55" t="s">
        <v>993</v>
      </c>
      <c r="F21" s="21">
        <v>50000</v>
      </c>
      <c r="H21" s="21">
        <f t="shared" si="0"/>
        <v>900000</v>
      </c>
      <c r="M21" s="156"/>
    </row>
    <row r="22" spans="2:16" ht="15" customHeight="1">
      <c r="B22" s="337">
        <v>43778</v>
      </c>
      <c r="D22" s="55" t="s">
        <v>993</v>
      </c>
      <c r="F22" s="21">
        <v>50000</v>
      </c>
      <c r="H22" s="21">
        <f t="shared" si="0"/>
        <v>950000</v>
      </c>
      <c r="M22" s="156"/>
    </row>
    <row r="23" spans="2:16" ht="15" customHeight="1">
      <c r="B23" s="337">
        <v>43840</v>
      </c>
      <c r="D23" s="55" t="s">
        <v>993</v>
      </c>
      <c r="F23" s="21">
        <v>50000</v>
      </c>
      <c r="H23" s="21">
        <f t="shared" si="0"/>
        <v>1000000</v>
      </c>
      <c r="M23" s="156"/>
    </row>
    <row r="24" spans="2:16" ht="15" customHeight="1">
      <c r="B24" s="337">
        <v>43922</v>
      </c>
      <c r="D24" s="55" t="s">
        <v>993</v>
      </c>
      <c r="F24" s="21">
        <v>150000</v>
      </c>
      <c r="H24" s="21">
        <f t="shared" si="0"/>
        <v>1150000</v>
      </c>
      <c r="M24" s="156"/>
    </row>
    <row r="25" spans="2:16" ht="15" customHeight="1">
      <c r="B25" s="337">
        <v>43980</v>
      </c>
      <c r="D25" s="55" t="s">
        <v>993</v>
      </c>
      <c r="F25" s="21">
        <v>50000</v>
      </c>
      <c r="H25" s="21">
        <f t="shared" si="0"/>
        <v>1200000</v>
      </c>
      <c r="M25" s="156"/>
    </row>
    <row r="26" spans="2:16" ht="15" customHeight="1">
      <c r="B26"/>
      <c r="M26" s="156"/>
    </row>
    <row r="27" spans="2:16" ht="15" customHeight="1">
      <c r="B27"/>
      <c r="M27" s="156"/>
    </row>
    <row r="28" spans="2:16" ht="15" customHeight="1">
      <c r="B28"/>
      <c r="M28" s="156"/>
    </row>
    <row r="29" spans="2:16" ht="15" customHeight="1">
      <c r="B29"/>
      <c r="M29" s="156"/>
    </row>
    <row r="30" spans="2:16" ht="15" customHeight="1">
      <c r="B30"/>
      <c r="M30" s="156"/>
    </row>
    <row r="31" spans="2:16">
      <c r="B31"/>
      <c r="F31"/>
      <c r="G31"/>
      <c r="H31"/>
      <c r="L31"/>
      <c r="M31" s="291"/>
      <c r="N31" s="291"/>
      <c r="O31"/>
      <c r="P31"/>
    </row>
    <row r="32" spans="2:16">
      <c r="B32"/>
      <c r="F32"/>
      <c r="G32"/>
      <c r="H32"/>
      <c r="L32"/>
      <c r="M32" s="291"/>
      <c r="N32" s="291"/>
      <c r="O32"/>
      <c r="P32"/>
    </row>
    <row r="33" spans="2:16">
      <c r="B33"/>
      <c r="F33"/>
      <c r="G33"/>
      <c r="H33"/>
      <c r="L33"/>
      <c r="M33" s="291"/>
      <c r="N33" s="291"/>
      <c r="O33"/>
      <c r="P33"/>
    </row>
    <row r="34" spans="2:16">
      <c r="B34"/>
      <c r="F34"/>
      <c r="G34"/>
      <c r="H34"/>
      <c r="L34"/>
      <c r="M34" s="291"/>
      <c r="N34" s="291"/>
      <c r="O34"/>
      <c r="P34"/>
    </row>
    <row r="35" spans="2:16">
      <c r="B35"/>
      <c r="F35"/>
      <c r="G35"/>
      <c r="H35"/>
      <c r="L35"/>
      <c r="M35" s="291"/>
      <c r="N35" s="291"/>
      <c r="O35"/>
      <c r="P35"/>
    </row>
    <row r="36" spans="2:16">
      <c r="B36"/>
      <c r="F36"/>
      <c r="G36"/>
      <c r="H36"/>
      <c r="L36"/>
      <c r="M36"/>
      <c r="N36" s="291"/>
      <c r="O36"/>
      <c r="P36"/>
    </row>
    <row r="37" spans="2:16">
      <c r="B37"/>
      <c r="F37"/>
      <c r="G37"/>
      <c r="H37"/>
      <c r="L37"/>
      <c r="M37"/>
      <c r="N37" s="291"/>
      <c r="O37"/>
      <c r="P37"/>
    </row>
    <row r="38" spans="2:16">
      <c r="B38"/>
      <c r="F38"/>
      <c r="G38"/>
      <c r="H38"/>
      <c r="L38"/>
      <c r="M38"/>
      <c r="N38" s="291"/>
      <c r="O38"/>
      <c r="P38"/>
    </row>
    <row r="39" spans="2:16">
      <c r="B39"/>
      <c r="F39"/>
      <c r="G39"/>
      <c r="H39"/>
      <c r="L39"/>
      <c r="M39"/>
      <c r="N39" s="291"/>
      <c r="O39"/>
      <c r="P39"/>
    </row>
    <row r="40" spans="2:16">
      <c r="B40"/>
      <c r="F40"/>
      <c r="G40"/>
      <c r="H40"/>
      <c r="L40"/>
      <c r="M40"/>
      <c r="N40" s="291"/>
      <c r="O40"/>
      <c r="P40"/>
    </row>
    <row r="41" spans="2:16">
      <c r="B41"/>
      <c r="F41"/>
      <c r="G41"/>
      <c r="H41"/>
      <c r="L41"/>
      <c r="M41"/>
      <c r="N41" s="291"/>
      <c r="O41"/>
      <c r="P41"/>
    </row>
    <row r="42" spans="2:16">
      <c r="B42"/>
      <c r="F42"/>
      <c r="G42"/>
      <c r="H42"/>
      <c r="L42"/>
      <c r="M42"/>
      <c r="N42" s="291"/>
      <c r="O42"/>
      <c r="P42"/>
    </row>
    <row r="43" spans="2:16">
      <c r="B43"/>
      <c r="F43"/>
      <c r="G43"/>
      <c r="H43"/>
      <c r="L43"/>
      <c r="M43"/>
      <c r="N43" s="291"/>
      <c r="O43"/>
      <c r="P43"/>
    </row>
    <row r="48" spans="2:16">
      <c r="B48"/>
      <c r="D48" s="76" t="s">
        <v>307</v>
      </c>
      <c r="E48" s="48"/>
      <c r="F48" s="53">
        <f>SUM(F15:F47)</f>
        <v>1200000</v>
      </c>
      <c r="G48" s="53">
        <f>SUM(G15:G47)</f>
        <v>0</v>
      </c>
      <c r="H48" s="77">
        <f>F48-G48</f>
        <v>1200000</v>
      </c>
      <c r="L48" s="92">
        <f>SUM(L3:L11)</f>
        <v>500000</v>
      </c>
      <c r="M48" s="92">
        <f>SUM(M3:M46)</f>
        <v>700000</v>
      </c>
      <c r="N48" s="156">
        <f>SUM(N3:N11)</f>
        <v>0</v>
      </c>
      <c r="O48" s="92">
        <f>SUM(O3:O11)</f>
        <v>0</v>
      </c>
      <c r="P48" s="92">
        <f>SUM(P3:P11)</f>
        <v>0</v>
      </c>
    </row>
    <row r="49" spans="16:16">
      <c r="P49" s="92">
        <f>SUM(L48:P48)</f>
        <v>1200000</v>
      </c>
    </row>
  </sheetData>
  <mergeCells count="2">
    <mergeCell ref="L1:P1"/>
    <mergeCell ref="C6:E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00FF00"/>
  </sheetPr>
  <dimension ref="B1:P76"/>
  <sheetViews>
    <sheetView workbookViewId="0">
      <selection activeCell="M29" sqref="M29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322" customWidth="1"/>
    <col min="7" max="7" width="13.28515625" style="21" customWidth="1"/>
    <col min="8" max="8" width="16.7109375" style="322" customWidth="1"/>
    <col min="9" max="9" width="5" customWidth="1"/>
    <col min="12" max="12" width="14.140625" style="30" customWidth="1"/>
    <col min="13" max="14" width="14.140625" style="156" customWidth="1"/>
    <col min="15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941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199</v>
      </c>
      <c r="G2" s="18" t="s">
        <v>53</v>
      </c>
      <c r="H2" s="427"/>
      <c r="L2" s="91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942</v>
      </c>
      <c r="G3" s="18" t="s">
        <v>61</v>
      </c>
      <c r="H3" s="428"/>
      <c r="L3" s="21">
        <v>500000</v>
      </c>
      <c r="M3" s="156">
        <v>50000</v>
      </c>
      <c r="N3" s="156">
        <v>25000</v>
      </c>
      <c r="O3" s="92"/>
      <c r="P3" s="92"/>
    </row>
    <row r="4" spans="2:16">
      <c r="D4" s="55" t="s">
        <v>943</v>
      </c>
      <c r="G4" s="89" t="s">
        <v>379</v>
      </c>
      <c r="H4" s="515">
        <f>B15</f>
        <v>43466</v>
      </c>
      <c r="L4" s="92"/>
      <c r="M4" s="156">
        <v>50000</v>
      </c>
      <c r="N4" s="156">
        <v>25000</v>
      </c>
      <c r="O4" s="92"/>
    </row>
    <row r="5" spans="2:16">
      <c r="G5" s="18"/>
      <c r="M5" s="156">
        <v>50000</v>
      </c>
      <c r="N5" s="156">
        <v>25000</v>
      </c>
    </row>
    <row r="6" spans="2:16">
      <c r="C6" s="686" t="s">
        <v>638</v>
      </c>
      <c r="D6" s="686"/>
      <c r="E6" s="686"/>
      <c r="G6" s="89" t="s">
        <v>381</v>
      </c>
      <c r="H6" s="516">
        <f>H4</f>
        <v>43466</v>
      </c>
      <c r="M6" s="156">
        <v>50000</v>
      </c>
      <c r="N6" s="156">
        <v>25000</v>
      </c>
    </row>
    <row r="7" spans="2:16" hidden="1">
      <c r="G7" s="24" t="s">
        <v>55</v>
      </c>
    </row>
    <row r="8" spans="2:16" hidden="1">
      <c r="G8" s="18"/>
    </row>
    <row r="9" spans="2:16" hidden="1"/>
    <row r="10" spans="2:16" hidden="1"/>
    <row r="11" spans="2:16" hidden="1">
      <c r="G11" s="18" t="s">
        <v>56</v>
      </c>
    </row>
    <row r="12" spans="2:16" hidden="1"/>
    <row r="13" spans="2:16" hidden="1"/>
    <row r="14" spans="2:16">
      <c r="B14" s="19" t="s">
        <v>57</v>
      </c>
      <c r="D14" t="s">
        <v>58</v>
      </c>
      <c r="F14" s="424" t="s">
        <v>87</v>
      </c>
      <c r="G14" s="20" t="s">
        <v>88</v>
      </c>
      <c r="H14" s="424" t="s">
        <v>89</v>
      </c>
      <c r="M14" s="156">
        <v>50000</v>
      </c>
      <c r="N14" s="156">
        <v>25000</v>
      </c>
    </row>
    <row r="15" spans="2:16" ht="15" customHeight="1">
      <c r="B15" s="19">
        <v>43466</v>
      </c>
      <c r="D15" s="55" t="s">
        <v>932</v>
      </c>
      <c r="F15" s="322">
        <v>500000</v>
      </c>
      <c r="H15" s="322">
        <f>F15-G15</f>
        <v>500000</v>
      </c>
      <c r="M15" s="156">
        <v>50000</v>
      </c>
      <c r="N15" s="156">
        <v>25000</v>
      </c>
    </row>
    <row r="16" spans="2:16" ht="15" customHeight="1">
      <c r="B16" s="336">
        <v>43466</v>
      </c>
      <c r="D16" s="55" t="s">
        <v>917</v>
      </c>
      <c r="F16" s="322">
        <v>50000</v>
      </c>
      <c r="G16" s="435"/>
      <c r="H16" s="322">
        <f>H15+F16-G16</f>
        <v>550000</v>
      </c>
      <c r="M16" s="156">
        <v>50000</v>
      </c>
      <c r="N16" s="156">
        <v>100000</v>
      </c>
    </row>
    <row r="17" spans="2:14" ht="15" customHeight="1">
      <c r="B17" s="19">
        <v>43524</v>
      </c>
      <c r="D17" s="55" t="s">
        <v>917</v>
      </c>
      <c r="E17" s="145"/>
      <c r="F17" s="291">
        <v>50000</v>
      </c>
      <c r="H17" s="322">
        <f>H16+F17-G17</f>
        <v>600000</v>
      </c>
      <c r="M17" s="156">
        <v>50000</v>
      </c>
      <c r="N17" s="156">
        <v>500000</v>
      </c>
    </row>
    <row r="18" spans="2:14" ht="15" customHeight="1">
      <c r="B18" s="19">
        <v>43557</v>
      </c>
      <c r="D18" s="55" t="s">
        <v>917</v>
      </c>
      <c r="F18" s="322">
        <v>50000</v>
      </c>
      <c r="H18" s="322">
        <f t="shared" ref="H18:H41" si="0">H17+F18-G18</f>
        <v>650000</v>
      </c>
      <c r="M18" s="156">
        <v>50000</v>
      </c>
      <c r="N18" s="156">
        <v>500000</v>
      </c>
    </row>
    <row r="19" spans="2:14" ht="15" customHeight="1">
      <c r="B19" s="19">
        <v>43585</v>
      </c>
      <c r="D19" s="55" t="s">
        <v>917</v>
      </c>
      <c r="F19" s="322">
        <v>50000</v>
      </c>
      <c r="H19" s="322">
        <f t="shared" si="0"/>
        <v>700000</v>
      </c>
      <c r="M19" s="156">
        <v>50000</v>
      </c>
    </row>
    <row r="20" spans="2:14" ht="15" customHeight="1">
      <c r="B20" s="554">
        <v>43585</v>
      </c>
      <c r="D20" s="55" t="s">
        <v>282</v>
      </c>
      <c r="F20" s="322">
        <v>25000</v>
      </c>
      <c r="H20" s="322">
        <f t="shared" si="0"/>
        <v>725000</v>
      </c>
      <c r="M20" s="156">
        <v>50000</v>
      </c>
    </row>
    <row r="21" spans="2:14" ht="15" customHeight="1">
      <c r="B21" s="19">
        <v>43617</v>
      </c>
      <c r="D21" s="55" t="s">
        <v>917</v>
      </c>
      <c r="F21" s="322">
        <v>50000</v>
      </c>
      <c r="H21" s="322">
        <f t="shared" si="0"/>
        <v>775000</v>
      </c>
      <c r="M21" s="156">
        <v>50000</v>
      </c>
    </row>
    <row r="22" spans="2:14" ht="15" customHeight="1">
      <c r="B22" s="554">
        <v>43617</v>
      </c>
      <c r="D22" s="55" t="s">
        <v>282</v>
      </c>
      <c r="F22" s="322">
        <v>25000</v>
      </c>
      <c r="H22" s="322">
        <f t="shared" si="0"/>
        <v>800000</v>
      </c>
      <c r="M22" s="156">
        <v>100000</v>
      </c>
    </row>
    <row r="23" spans="2:14" ht="15" customHeight="1">
      <c r="B23" s="19">
        <v>43648</v>
      </c>
      <c r="D23" s="55" t="s">
        <v>917</v>
      </c>
      <c r="F23" s="322">
        <v>50000</v>
      </c>
      <c r="H23" s="322">
        <f t="shared" si="0"/>
        <v>850000</v>
      </c>
      <c r="M23" s="156">
        <v>50000</v>
      </c>
    </row>
    <row r="24" spans="2:14" ht="15" customHeight="1">
      <c r="B24" s="554">
        <v>43648</v>
      </c>
      <c r="D24" s="55" t="s">
        <v>282</v>
      </c>
      <c r="F24" s="322">
        <v>25000</v>
      </c>
      <c r="H24" s="322">
        <f t="shared" si="0"/>
        <v>875000</v>
      </c>
      <c r="M24" s="156">
        <v>50000</v>
      </c>
      <c r="N24" s="156">
        <v>150000</v>
      </c>
    </row>
    <row r="25" spans="2:14" ht="15" customHeight="1">
      <c r="B25" s="319">
        <v>40028</v>
      </c>
      <c r="C25" s="324"/>
      <c r="D25" s="421" t="s">
        <v>1053</v>
      </c>
      <c r="E25" s="326"/>
      <c r="F25" s="323">
        <v>75000</v>
      </c>
      <c r="H25" s="322">
        <f t="shared" si="0"/>
        <v>950000</v>
      </c>
      <c r="M25" s="156">
        <v>50000</v>
      </c>
    </row>
    <row r="26" spans="2:14" ht="15" customHeight="1">
      <c r="B26" s="319">
        <v>40070</v>
      </c>
      <c r="C26" s="324"/>
      <c r="D26" s="421" t="s">
        <v>1053</v>
      </c>
      <c r="E26" s="326"/>
      <c r="F26" s="323">
        <v>75000</v>
      </c>
      <c r="H26" s="322">
        <f t="shared" si="0"/>
        <v>1025000</v>
      </c>
      <c r="M26" s="156">
        <v>100000</v>
      </c>
    </row>
    <row r="27" spans="2:14" ht="15" customHeight="1">
      <c r="B27" s="302">
        <v>43743</v>
      </c>
      <c r="D27" s="421" t="s">
        <v>1053</v>
      </c>
      <c r="E27" s="326"/>
      <c r="F27" s="323">
        <v>75000</v>
      </c>
      <c r="H27" s="322">
        <f t="shared" si="0"/>
        <v>1100000</v>
      </c>
      <c r="M27" s="156">
        <v>100000</v>
      </c>
    </row>
    <row r="28" spans="2:14" ht="15" customHeight="1">
      <c r="B28" s="302">
        <v>43809</v>
      </c>
      <c r="D28" s="421" t="s">
        <v>1053</v>
      </c>
      <c r="F28" s="322">
        <v>50000</v>
      </c>
      <c r="H28" s="322">
        <f t="shared" si="0"/>
        <v>1150000</v>
      </c>
      <c r="M28" s="156">
        <v>50000</v>
      </c>
    </row>
    <row r="29" spans="2:14" ht="15" customHeight="1">
      <c r="B29" s="337">
        <v>43836</v>
      </c>
      <c r="D29" s="421" t="s">
        <v>1053</v>
      </c>
      <c r="F29" s="322">
        <v>150000</v>
      </c>
      <c r="H29" s="322">
        <f t="shared" si="0"/>
        <v>1300000</v>
      </c>
    </row>
    <row r="30" spans="2:14" ht="15" customHeight="1">
      <c r="B30" s="337">
        <v>43836</v>
      </c>
      <c r="D30" s="421" t="s">
        <v>282</v>
      </c>
      <c r="F30" s="322">
        <v>500000</v>
      </c>
      <c r="H30" s="322">
        <f t="shared" si="0"/>
        <v>1800000</v>
      </c>
    </row>
    <row r="31" spans="2:14" ht="15" customHeight="1">
      <c r="B31" s="337">
        <v>43866</v>
      </c>
      <c r="D31" s="421" t="s">
        <v>1053</v>
      </c>
      <c r="F31" s="322">
        <v>50000</v>
      </c>
      <c r="H31" s="322">
        <f t="shared" si="0"/>
        <v>1850000</v>
      </c>
    </row>
    <row r="32" spans="2:14" ht="15" customHeight="1">
      <c r="B32" s="337">
        <v>43866</v>
      </c>
      <c r="D32" s="421" t="s">
        <v>282</v>
      </c>
      <c r="F32" s="322">
        <v>500000</v>
      </c>
      <c r="H32" s="322">
        <f t="shared" si="0"/>
        <v>2350000</v>
      </c>
    </row>
    <row r="33" spans="2:16" ht="15" customHeight="1">
      <c r="B33" s="337">
        <v>43925</v>
      </c>
      <c r="D33" s="421" t="s">
        <v>993</v>
      </c>
      <c r="F33" s="322">
        <v>100000</v>
      </c>
      <c r="H33" s="322">
        <f t="shared" si="0"/>
        <v>2450000</v>
      </c>
    </row>
    <row r="34" spans="2:16">
      <c r="B34" s="337">
        <v>43963</v>
      </c>
      <c r="D34" s="421" t="s">
        <v>993</v>
      </c>
      <c r="F34" s="322">
        <v>50000</v>
      </c>
      <c r="G34"/>
      <c r="H34" s="322">
        <f t="shared" si="0"/>
        <v>2500000</v>
      </c>
      <c r="L34"/>
      <c r="M34" s="291"/>
      <c r="N34" s="291"/>
      <c r="O34"/>
      <c r="P34"/>
    </row>
    <row r="35" spans="2:16">
      <c r="B35" s="351">
        <v>43985</v>
      </c>
      <c r="C35" s="352"/>
      <c r="D35" s="421" t="s">
        <v>1053</v>
      </c>
      <c r="E35" s="325"/>
      <c r="F35" s="323">
        <v>200000</v>
      </c>
      <c r="G35"/>
      <c r="H35" s="322">
        <f t="shared" si="0"/>
        <v>2700000</v>
      </c>
      <c r="L35"/>
      <c r="M35" s="291"/>
      <c r="N35" s="291"/>
      <c r="O35"/>
      <c r="P35"/>
    </row>
    <row r="36" spans="2:16" s="145" customFormat="1">
      <c r="B36" s="319">
        <v>44018</v>
      </c>
      <c r="C36"/>
      <c r="D36" s="421" t="s">
        <v>993</v>
      </c>
      <c r="E36" s="325"/>
      <c r="F36" s="323">
        <v>50000</v>
      </c>
      <c r="H36" s="322">
        <f t="shared" si="0"/>
        <v>2750000</v>
      </c>
      <c r="M36" s="434"/>
      <c r="N36" s="434"/>
    </row>
    <row r="37" spans="2:16">
      <c r="B37" s="337">
        <v>44095</v>
      </c>
      <c r="D37" s="421" t="s">
        <v>993</v>
      </c>
      <c r="F37" s="322">
        <v>100000</v>
      </c>
      <c r="G37"/>
      <c r="H37" s="322">
        <f t="shared" si="0"/>
        <v>2850000</v>
      </c>
      <c r="L37"/>
      <c r="M37" s="291"/>
      <c r="N37" s="291"/>
      <c r="O37"/>
      <c r="P37"/>
    </row>
    <row r="38" spans="2:16">
      <c r="B38" s="337">
        <v>44105</v>
      </c>
      <c r="D38" s="421" t="s">
        <v>993</v>
      </c>
      <c r="F38" s="322">
        <v>100000</v>
      </c>
      <c r="G38"/>
      <c r="H38" s="322">
        <f t="shared" si="0"/>
        <v>2950000</v>
      </c>
      <c r="L38"/>
      <c r="M38" s="291"/>
      <c r="N38" s="291"/>
      <c r="O38"/>
      <c r="P38"/>
    </row>
    <row r="39" spans="2:16">
      <c r="B39" s="337">
        <v>44137</v>
      </c>
      <c r="D39" s="421" t="s">
        <v>993</v>
      </c>
      <c r="F39" s="322">
        <v>50000</v>
      </c>
      <c r="G39"/>
      <c r="H39" s="322">
        <f t="shared" si="0"/>
        <v>3000000</v>
      </c>
      <c r="L39"/>
      <c r="M39" s="291"/>
      <c r="N39" s="291"/>
      <c r="O39"/>
      <c r="P39"/>
    </row>
    <row r="40" spans="2:16">
      <c r="B40" s="337"/>
      <c r="D40" s="325"/>
      <c r="G40"/>
      <c r="H40" s="322">
        <f t="shared" si="0"/>
        <v>3000000</v>
      </c>
    </row>
    <row r="41" spans="2:16">
      <c r="B41" s="337"/>
      <c r="D41" s="325"/>
      <c r="G41"/>
      <c r="H41" s="322">
        <f t="shared" si="0"/>
        <v>3000000</v>
      </c>
    </row>
    <row r="42" spans="2:16">
      <c r="B42" s="337"/>
      <c r="D42" s="325"/>
      <c r="G42"/>
    </row>
    <row r="43" spans="2:16">
      <c r="B43" s="337"/>
      <c r="D43" s="325"/>
      <c r="G43"/>
    </row>
    <row r="44" spans="2:16">
      <c r="B44" s="337"/>
      <c r="D44" s="325"/>
      <c r="G44"/>
    </row>
    <row r="45" spans="2:16">
      <c r="B45" s="337"/>
      <c r="D45" s="325"/>
      <c r="G45"/>
    </row>
    <row r="46" spans="2:16">
      <c r="B46" s="337"/>
      <c r="D46" s="325"/>
      <c r="G46"/>
    </row>
    <row r="47" spans="2:16">
      <c r="B47" s="337"/>
      <c r="D47" s="325"/>
      <c r="G47"/>
    </row>
    <row r="48" spans="2:16">
      <c r="B48" s="337"/>
      <c r="D48" s="325"/>
      <c r="G48"/>
    </row>
    <row r="49" spans="2:9">
      <c r="B49" s="337"/>
      <c r="D49" s="325"/>
      <c r="G49"/>
    </row>
    <row r="50" spans="2:9">
      <c r="B50" s="337"/>
      <c r="D50" s="325"/>
      <c r="G50"/>
    </row>
    <row r="51" spans="2:9">
      <c r="B51" s="337"/>
      <c r="D51" s="325"/>
      <c r="G51"/>
    </row>
    <row r="52" spans="2:9">
      <c r="B52" s="337"/>
      <c r="D52" s="325"/>
      <c r="G52"/>
    </row>
    <row r="53" spans="2:9">
      <c r="B53" s="337"/>
      <c r="D53" s="325"/>
      <c r="G53"/>
    </row>
    <row r="54" spans="2:9">
      <c r="B54" s="337"/>
      <c r="D54" s="325"/>
      <c r="G54"/>
    </row>
    <row r="55" spans="2:9">
      <c r="B55" s="337"/>
      <c r="D55" s="325"/>
      <c r="G55"/>
    </row>
    <row r="56" spans="2:9">
      <c r="B56" s="337"/>
      <c r="D56" s="325"/>
      <c r="G56"/>
    </row>
    <row r="57" spans="2:9">
      <c r="B57"/>
      <c r="I57" s="291"/>
    </row>
    <row r="58" spans="2:9" hidden="1">
      <c r="B58"/>
      <c r="F58" s="291"/>
      <c r="I58" s="291"/>
    </row>
    <row r="59" spans="2:9" hidden="1">
      <c r="B59"/>
      <c r="F59" s="291"/>
      <c r="I59" s="291"/>
    </row>
    <row r="60" spans="2:9" hidden="1">
      <c r="B60"/>
      <c r="F60" s="291"/>
    </row>
    <row r="61" spans="2:9" hidden="1">
      <c r="B61"/>
      <c r="F61" s="291"/>
      <c r="G61"/>
      <c r="H61" s="291"/>
    </row>
    <row r="62" spans="2:9" hidden="1">
      <c r="B62"/>
      <c r="F62" s="291"/>
      <c r="G62"/>
      <c r="H62" s="291"/>
    </row>
    <row r="63" spans="2:9" hidden="1"/>
    <row r="64" spans="2:9" hidden="1"/>
    <row r="65" spans="2:16" hidden="1"/>
    <row r="67" spans="2:16">
      <c r="B67"/>
      <c r="D67" s="76" t="s">
        <v>307</v>
      </c>
      <c r="E67" s="48"/>
      <c r="F67" s="426">
        <f>SUM(F15:F66)</f>
        <v>3000000</v>
      </c>
      <c r="G67" s="53">
        <f>SUM(G15:G66)</f>
        <v>0</v>
      </c>
      <c r="H67" s="430">
        <f>F67-G67</f>
        <v>3000000</v>
      </c>
      <c r="L67" s="92">
        <f>SUM(L3:L11)</f>
        <v>500000</v>
      </c>
      <c r="M67" s="156">
        <f>SUM(M3:M66)</f>
        <v>1100000</v>
      </c>
      <c r="N67" s="156">
        <f>SUM(N3:N48)</f>
        <v>1400000</v>
      </c>
      <c r="O67" s="92">
        <f>SUM(O3:O11)</f>
        <v>0</v>
      </c>
      <c r="P67" s="92">
        <f>SUM(P3:P11)</f>
        <v>0</v>
      </c>
    </row>
    <row r="68" spans="2:16">
      <c r="P68" s="92">
        <f>SUM(L67:P67)</f>
        <v>3000000</v>
      </c>
    </row>
    <row r="69" spans="2:16">
      <c r="L69"/>
      <c r="M69" s="291"/>
      <c r="N69" s="291"/>
      <c r="O69"/>
      <c r="P69"/>
    </row>
    <row r="70" spans="2:16">
      <c r="L70"/>
      <c r="M70" s="291"/>
      <c r="N70" s="291"/>
      <c r="O70"/>
      <c r="P70"/>
    </row>
    <row r="71" spans="2:16">
      <c r="L71"/>
      <c r="M71" s="291"/>
      <c r="N71" s="291"/>
      <c r="O71"/>
      <c r="P71"/>
    </row>
    <row r="72" spans="2:16">
      <c r="L72"/>
      <c r="M72" s="291"/>
      <c r="N72" s="291"/>
      <c r="O72"/>
      <c r="P72"/>
    </row>
    <row r="73" spans="2:16">
      <c r="L73"/>
      <c r="M73" s="291">
        <v>17420000</v>
      </c>
      <c r="N73" s="291"/>
      <c r="O73"/>
      <c r="P73"/>
    </row>
    <row r="74" spans="2:16">
      <c r="L74"/>
      <c r="M74" s="291">
        <v>32030750</v>
      </c>
      <c r="N74" s="291"/>
      <c r="O74"/>
      <c r="P74"/>
    </row>
    <row r="75" spans="2:16">
      <c r="M75" s="291">
        <v>14554721.733561473</v>
      </c>
      <c r="N75" s="291"/>
    </row>
    <row r="76" spans="2:16">
      <c r="M76" s="291"/>
      <c r="N76" s="291">
        <v>64005471.733561471</v>
      </c>
    </row>
  </sheetData>
  <mergeCells count="2">
    <mergeCell ref="L1:P1"/>
    <mergeCell ref="C6:E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1">
    <tabColor rgb="FF00FF00"/>
  </sheetPr>
  <dimension ref="B1:P51"/>
  <sheetViews>
    <sheetView topLeftCell="A16" workbookViewId="0">
      <selection activeCell="Q27" sqref="Q27"/>
    </sheetView>
  </sheetViews>
  <sheetFormatPr defaultRowHeight="12.75"/>
  <cols>
    <col min="1" max="1" width="0.140625" customWidth="1"/>
    <col min="2" max="2" width="10.28515625" style="19" customWidth="1"/>
    <col min="3" max="3" width="1.42578125" customWidth="1"/>
    <col min="5" max="5" width="24.7109375" customWidth="1"/>
    <col min="6" max="6" width="12" style="21" customWidth="1"/>
    <col min="7" max="7" width="11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343</v>
      </c>
      <c r="G1" s="18" t="s">
        <v>938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69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t="s">
        <v>34</v>
      </c>
      <c r="G3" s="18" t="s">
        <v>61</v>
      </c>
      <c r="H3" s="21" t="s">
        <v>33</v>
      </c>
      <c r="L3" s="92">
        <f>F15</f>
        <v>200000</v>
      </c>
      <c r="M3" s="92">
        <f>F16</f>
        <v>20000</v>
      </c>
      <c r="N3" s="92">
        <f>F19</f>
        <v>30000</v>
      </c>
      <c r="O3" s="92">
        <v>61918.971656103953</v>
      </c>
    </row>
    <row r="4" spans="2:16">
      <c r="D4" t="s">
        <v>52</v>
      </c>
      <c r="G4" s="18" t="s">
        <v>112</v>
      </c>
      <c r="L4" s="30">
        <v>300000</v>
      </c>
      <c r="M4" s="92">
        <f>F18</f>
        <v>20000</v>
      </c>
      <c r="N4" s="92">
        <f>F17</f>
        <v>80000</v>
      </c>
      <c r="O4" s="92">
        <v>94292.138623647799</v>
      </c>
    </row>
    <row r="5" spans="2:16">
      <c r="G5" s="18"/>
      <c r="M5" s="92">
        <f>F20</f>
        <v>20000</v>
      </c>
      <c r="O5" s="161">
        <v>54353.528883555759</v>
      </c>
    </row>
    <row r="6" spans="2:16">
      <c r="G6" s="18" t="s">
        <v>54</v>
      </c>
      <c r="M6" s="92">
        <f>F21</f>
        <v>20000</v>
      </c>
      <c r="O6" s="161">
        <v>43412.572931017407</v>
      </c>
    </row>
    <row r="7" spans="2:16">
      <c r="G7" s="24" t="s">
        <v>55</v>
      </c>
      <c r="M7" s="92">
        <f>F21</f>
        <v>20000</v>
      </c>
      <c r="O7" s="161">
        <v>56685.166725693147</v>
      </c>
    </row>
    <row r="8" spans="2:16">
      <c r="G8" s="18"/>
      <c r="M8" s="92">
        <f>F22</f>
        <v>20000</v>
      </c>
      <c r="O8" s="156">
        <v>-200000</v>
      </c>
    </row>
    <row r="9" spans="2:16">
      <c r="M9" s="92">
        <f>F24</f>
        <v>40000</v>
      </c>
    </row>
    <row r="10" spans="2:16">
      <c r="M10" s="92">
        <f>F25</f>
        <v>80000</v>
      </c>
    </row>
    <row r="11" spans="2:16">
      <c r="G11" s="18" t="s">
        <v>56</v>
      </c>
      <c r="M11" s="92">
        <v>20000</v>
      </c>
    </row>
    <row r="12" spans="2:16">
      <c r="M12" s="92">
        <f>F27</f>
        <v>40000</v>
      </c>
    </row>
    <row r="13" spans="2:16">
      <c r="M13" s="92">
        <f>F28</f>
        <v>115000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92">
        <f>F29</f>
        <v>30000</v>
      </c>
    </row>
    <row r="15" spans="2:16" ht="15" customHeight="1">
      <c r="B15" s="19">
        <v>40621</v>
      </c>
      <c r="D15" t="s">
        <v>59</v>
      </c>
      <c r="F15" s="21">
        <v>200000</v>
      </c>
      <c r="G15" s="22"/>
      <c r="H15" s="21">
        <f>F15-G15</f>
        <v>200000</v>
      </c>
      <c r="M15" s="92">
        <f>F30</f>
        <v>25000</v>
      </c>
    </row>
    <row r="16" spans="2:16" ht="15" customHeight="1">
      <c r="B16" s="19">
        <v>40621</v>
      </c>
      <c r="D16" t="s">
        <v>102</v>
      </c>
      <c r="F16" s="21">
        <v>20000</v>
      </c>
      <c r="H16" s="21">
        <f t="shared" ref="H16:H40" si="0">H15+F16-G16</f>
        <v>220000</v>
      </c>
      <c r="M16" s="92">
        <f>F32</f>
        <v>75000</v>
      </c>
    </row>
    <row r="17" spans="2:13" ht="15" customHeight="1">
      <c r="B17" s="19">
        <v>40621</v>
      </c>
      <c r="D17" t="s">
        <v>110</v>
      </c>
      <c r="F17" s="21">
        <v>80000</v>
      </c>
      <c r="H17" s="21">
        <f t="shared" si="0"/>
        <v>300000</v>
      </c>
      <c r="M17" s="92">
        <f>F33</f>
        <v>50000</v>
      </c>
    </row>
    <row r="18" spans="2:13" ht="15" customHeight="1">
      <c r="B18" s="19">
        <v>40642</v>
      </c>
      <c r="D18" t="s">
        <v>102</v>
      </c>
      <c r="F18" s="21">
        <v>20000</v>
      </c>
      <c r="H18" s="21">
        <f t="shared" si="0"/>
        <v>320000</v>
      </c>
      <c r="M18" s="156">
        <v>-300000</v>
      </c>
    </row>
    <row r="19" spans="2:13" ht="15" customHeight="1">
      <c r="B19" s="19">
        <v>40642</v>
      </c>
      <c r="D19" t="s">
        <v>110</v>
      </c>
      <c r="F19" s="21">
        <v>30000</v>
      </c>
      <c r="H19" s="21">
        <f t="shared" si="0"/>
        <v>350000</v>
      </c>
      <c r="M19" s="30">
        <v>600000</v>
      </c>
    </row>
    <row r="20" spans="2:13" ht="15" customHeight="1">
      <c r="B20" s="19">
        <v>40665</v>
      </c>
      <c r="D20" t="s">
        <v>102</v>
      </c>
      <c r="F20" s="21">
        <v>20000</v>
      </c>
      <c r="H20" s="21">
        <f t="shared" si="0"/>
        <v>370000</v>
      </c>
    </row>
    <row r="21" spans="2:13" ht="15" customHeight="1">
      <c r="B21" s="19">
        <v>40665</v>
      </c>
      <c r="D21" t="s">
        <v>102</v>
      </c>
      <c r="F21" s="21">
        <v>20000</v>
      </c>
      <c r="H21" s="21">
        <f t="shared" si="0"/>
        <v>390000</v>
      </c>
    </row>
    <row r="22" spans="2:13" ht="15" customHeight="1">
      <c r="B22" s="19">
        <v>40695</v>
      </c>
      <c r="D22" t="s">
        <v>102</v>
      </c>
      <c r="F22" s="21">
        <v>20000</v>
      </c>
      <c r="H22" s="21">
        <f t="shared" si="0"/>
        <v>410000</v>
      </c>
    </row>
    <row r="23" spans="2:13" ht="15" customHeight="1">
      <c r="B23" s="19">
        <v>40787</v>
      </c>
      <c r="D23" t="s">
        <v>102</v>
      </c>
      <c r="F23" s="21">
        <v>20000</v>
      </c>
      <c r="H23" s="21">
        <f t="shared" si="0"/>
        <v>430000</v>
      </c>
    </row>
    <row r="24" spans="2:13" ht="15" customHeight="1">
      <c r="B24" s="19">
        <v>40823</v>
      </c>
      <c r="D24" t="s">
        <v>102</v>
      </c>
      <c r="F24" s="21">
        <v>40000</v>
      </c>
      <c r="H24" s="21">
        <f t="shared" si="0"/>
        <v>470000</v>
      </c>
    </row>
    <row r="25" spans="2:13" ht="15" customHeight="1">
      <c r="B25" s="19">
        <v>40881</v>
      </c>
      <c r="D25" t="s">
        <v>102</v>
      </c>
      <c r="F25" s="21">
        <v>80000</v>
      </c>
      <c r="H25" s="21">
        <f t="shared" si="0"/>
        <v>550000</v>
      </c>
    </row>
    <row r="26" spans="2:13" ht="15" customHeight="1">
      <c r="B26" s="19">
        <v>40985</v>
      </c>
      <c r="D26" t="s">
        <v>315</v>
      </c>
      <c r="F26" s="21">
        <v>20000</v>
      </c>
      <c r="H26" s="21">
        <f t="shared" si="0"/>
        <v>570000</v>
      </c>
    </row>
    <row r="27" spans="2:13" ht="15" customHeight="1">
      <c r="B27" s="19">
        <v>41048</v>
      </c>
      <c r="D27" t="s">
        <v>328</v>
      </c>
      <c r="F27" s="21">
        <v>40000</v>
      </c>
      <c r="H27" s="21">
        <f t="shared" si="0"/>
        <v>610000</v>
      </c>
    </row>
    <row r="28" spans="2:13" ht="15" customHeight="1">
      <c r="B28" s="19">
        <v>41202</v>
      </c>
      <c r="D28" t="s">
        <v>366</v>
      </c>
      <c r="F28" s="21">
        <v>115000</v>
      </c>
      <c r="H28" s="21">
        <f t="shared" si="0"/>
        <v>725000</v>
      </c>
    </row>
    <row r="29" spans="2:13" ht="15" customHeight="1">
      <c r="B29" s="19">
        <v>41203</v>
      </c>
      <c r="D29" t="s">
        <v>371</v>
      </c>
      <c r="F29" s="21">
        <v>30000</v>
      </c>
      <c r="H29" s="21">
        <f t="shared" si="0"/>
        <v>755000</v>
      </c>
    </row>
    <row r="30" spans="2:13" ht="15" customHeight="1">
      <c r="B30" s="19">
        <v>41260</v>
      </c>
      <c r="D30" t="s">
        <v>375</v>
      </c>
      <c r="F30" s="21">
        <v>25000</v>
      </c>
      <c r="H30" s="21">
        <f t="shared" si="0"/>
        <v>780000</v>
      </c>
    </row>
    <row r="31" spans="2:13" ht="15" customHeight="1">
      <c r="B31" s="19">
        <v>41274</v>
      </c>
      <c r="D31" t="s">
        <v>392</v>
      </c>
      <c r="F31" s="21">
        <v>61918.971656103953</v>
      </c>
      <c r="H31" s="21">
        <f t="shared" si="0"/>
        <v>841918.97165610397</v>
      </c>
    </row>
    <row r="32" spans="2:13" ht="15" customHeight="1">
      <c r="B32" s="19">
        <v>41342</v>
      </c>
      <c r="D32" t="s">
        <v>416</v>
      </c>
      <c r="F32" s="21">
        <v>75000</v>
      </c>
      <c r="H32" s="21">
        <f t="shared" si="0"/>
        <v>916918.97165610397</v>
      </c>
    </row>
    <row r="33" spans="2:8" ht="15" customHeight="1">
      <c r="B33" s="19">
        <v>41440</v>
      </c>
      <c r="D33" t="s">
        <v>447</v>
      </c>
      <c r="F33" s="21">
        <v>50000</v>
      </c>
      <c r="H33" s="21">
        <f t="shared" si="0"/>
        <v>966918.97165610397</v>
      </c>
    </row>
    <row r="34" spans="2:8" ht="15" customHeight="1">
      <c r="B34" s="54" t="s">
        <v>811</v>
      </c>
      <c r="D34" t="s">
        <v>499</v>
      </c>
      <c r="F34" s="21">
        <v>94292.138623647799</v>
      </c>
      <c r="H34" s="21">
        <f t="shared" si="0"/>
        <v>1061211.1102797517</v>
      </c>
    </row>
    <row r="35" spans="2:8" ht="15" customHeight="1">
      <c r="B35" s="54" t="s">
        <v>812</v>
      </c>
      <c r="D35" s="55" t="s">
        <v>592</v>
      </c>
      <c r="F35" s="21">
        <v>54353.528883555759</v>
      </c>
      <c r="H35" s="21">
        <f t="shared" si="0"/>
        <v>1115564.6391633074</v>
      </c>
    </row>
    <row r="36" spans="2:8" ht="15" customHeight="1">
      <c r="B36" s="54" t="s">
        <v>813</v>
      </c>
      <c r="D36" s="55" t="s">
        <v>694</v>
      </c>
      <c r="F36" s="21">
        <v>43412.572931017407</v>
      </c>
      <c r="H36" s="21">
        <f t="shared" si="0"/>
        <v>1158977.2120943249</v>
      </c>
    </row>
    <row r="37" spans="2:8" ht="15" customHeight="1">
      <c r="B37" s="54" t="s">
        <v>814</v>
      </c>
      <c r="D37" s="55" t="s">
        <v>732</v>
      </c>
      <c r="F37" s="21">
        <v>56685.166725693147</v>
      </c>
      <c r="H37" s="21">
        <f t="shared" si="0"/>
        <v>1215662.3788200179</v>
      </c>
    </row>
    <row r="38" spans="2:8" ht="15" customHeight="1">
      <c r="B38" s="19">
        <v>42917</v>
      </c>
      <c r="C38" t="s">
        <v>803</v>
      </c>
      <c r="F38" s="21">
        <v>300000</v>
      </c>
      <c r="G38" s="21">
        <v>300000</v>
      </c>
      <c r="H38" s="21">
        <f t="shared" si="0"/>
        <v>1215662.3788200179</v>
      </c>
    </row>
    <row r="39" spans="2:8" ht="15" customHeight="1">
      <c r="B39" s="19">
        <v>42917</v>
      </c>
      <c r="C39" t="s">
        <v>804</v>
      </c>
      <c r="G39" s="21">
        <v>200000</v>
      </c>
      <c r="H39" s="21">
        <f t="shared" si="0"/>
        <v>1015662.3788200179</v>
      </c>
    </row>
    <row r="40" spans="2:8" ht="15" customHeight="1">
      <c r="B40" s="336">
        <v>43046</v>
      </c>
      <c r="D40" t="s">
        <v>825</v>
      </c>
      <c r="F40" s="21">
        <v>600000</v>
      </c>
      <c r="H40" s="21">
        <f t="shared" si="0"/>
        <v>1615662.3788200179</v>
      </c>
    </row>
    <row r="41" spans="2:8" ht="15" customHeight="1"/>
    <row r="42" spans="2:8" ht="15" customHeight="1"/>
    <row r="43" spans="2:8" ht="15" customHeight="1"/>
    <row r="44" spans="2:8" ht="15" customHeight="1"/>
    <row r="45" spans="2:8" ht="15" customHeight="1"/>
    <row r="50" spans="4:16" ht="15" customHeight="1">
      <c r="D50" s="76" t="s">
        <v>307</v>
      </c>
      <c r="E50" s="48"/>
      <c r="F50" s="53">
        <f>SUM(F15:F49)</f>
        <v>2115662.3788200179</v>
      </c>
      <c r="G50" s="53">
        <f>SUM(G15:G49)</f>
        <v>500000</v>
      </c>
      <c r="H50" s="77">
        <f>F50-G50</f>
        <v>1615662.3788200179</v>
      </c>
      <c r="L50" s="92">
        <f t="shared" ref="L50:N50" si="1">SUM(L3:L49)</f>
        <v>500000</v>
      </c>
      <c r="M50" s="92">
        <f t="shared" si="1"/>
        <v>895000</v>
      </c>
      <c r="N50" s="92">
        <f t="shared" si="1"/>
        <v>110000</v>
      </c>
      <c r="O50" s="92">
        <f>SUM(O3:O49)</f>
        <v>110662.37882001809</v>
      </c>
      <c r="P50" s="92">
        <f>SUM(P3:P14)</f>
        <v>0</v>
      </c>
    </row>
    <row r="51" spans="4:16">
      <c r="P51" s="92">
        <f>SUM(L50:P50)</f>
        <v>1615662.3788200181</v>
      </c>
    </row>
  </sheetData>
  <mergeCells count="1">
    <mergeCell ref="L1:P1"/>
  </mergeCells>
  <phoneticPr fontId="7" type="noConversion"/>
  <pageMargins left="0.32" right="0.75" top="0.38" bottom="0.78" header="0.3" footer="0.5"/>
  <pageSetup paperSize="9" orientation="landscape" horizontalDpi="4294967294" r:id="rId1"/>
  <headerFooter alignWithMargins="0"/>
  <legacyDrawing r:id="rId2"/>
  <oleObjects>
    <oleObject progId="CorelDRAW.Graphic.11" shapeId="14337" r:id="rId3"/>
    <oleObject progId="CorelDRAW.Graphic.11" shapeId="14338" r:id="rId4"/>
    <oleObject progId="CorelDRAW.Graphic.11" shapeId="14339" r:id="rId5"/>
  </oleObjects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00FF00"/>
  </sheetPr>
  <dimension ref="B1:P54"/>
  <sheetViews>
    <sheetView zoomScale="80" zoomScaleNormal="80" workbookViewId="0">
      <selection activeCell="M6" sqref="M6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956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200</v>
      </c>
      <c r="G2" s="18" t="s">
        <v>53</v>
      </c>
      <c r="H2" s="159"/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/>
      <c r="G3" s="18" t="s">
        <v>61</v>
      </c>
      <c r="H3" s="292"/>
      <c r="L3" s="21">
        <v>500000</v>
      </c>
      <c r="M3" s="92">
        <v>50000</v>
      </c>
      <c r="N3" s="30">
        <v>500000</v>
      </c>
      <c r="O3" s="92"/>
      <c r="P3" s="92"/>
    </row>
    <row r="4" spans="2:16">
      <c r="D4" s="55"/>
      <c r="G4" s="89" t="s">
        <v>379</v>
      </c>
      <c r="H4" s="141">
        <f>B15</f>
        <v>43486</v>
      </c>
      <c r="L4" s="92"/>
      <c r="M4" s="92"/>
      <c r="N4" s="92">
        <v>-500000</v>
      </c>
      <c r="O4" s="92"/>
    </row>
    <row r="5" spans="2:16">
      <c r="G5" s="18"/>
      <c r="M5" s="92">
        <v>50000</v>
      </c>
    </row>
    <row r="6" spans="2:16">
      <c r="C6" s="686" t="s">
        <v>472</v>
      </c>
      <c r="D6" s="686"/>
      <c r="E6" s="686"/>
      <c r="G6" s="89" t="s">
        <v>381</v>
      </c>
      <c r="H6" s="142">
        <f>H4</f>
        <v>43486</v>
      </c>
      <c r="M6" s="92"/>
    </row>
    <row r="7" spans="2:16">
      <c r="G7" s="24" t="s">
        <v>55</v>
      </c>
      <c r="M7" s="156"/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43486</v>
      </c>
      <c r="D15" s="55" t="s">
        <v>957</v>
      </c>
      <c r="F15" s="21">
        <v>500000</v>
      </c>
      <c r="H15" s="21">
        <f>F15-G15</f>
        <v>500000</v>
      </c>
    </row>
    <row r="16" spans="2:16" ht="15" customHeight="1">
      <c r="D16" s="55" t="s">
        <v>958</v>
      </c>
      <c r="F16" s="21">
        <v>50000</v>
      </c>
      <c r="H16" s="21">
        <f>H15+F16-G16</f>
        <v>550000</v>
      </c>
    </row>
    <row r="17" spans="2:8" ht="15" customHeight="1">
      <c r="B17" s="336">
        <v>43498</v>
      </c>
      <c r="D17" s="55" t="s">
        <v>282</v>
      </c>
      <c r="F17" s="21">
        <v>500000</v>
      </c>
      <c r="H17" s="21">
        <f>H16+F17-G17</f>
        <v>1050000</v>
      </c>
    </row>
    <row r="18" spans="2:8" ht="15" customHeight="1">
      <c r="B18" s="19">
        <v>43524</v>
      </c>
      <c r="D18" s="55" t="s">
        <v>853</v>
      </c>
      <c r="G18" s="21">
        <v>500000</v>
      </c>
      <c r="H18" s="21">
        <f t="shared" ref="H18:H19" si="0">H17+F18-G18</f>
        <v>550000</v>
      </c>
    </row>
    <row r="19" spans="2:8" ht="15" customHeight="1">
      <c r="B19" s="19">
        <v>44141</v>
      </c>
      <c r="D19" s="55" t="s">
        <v>958</v>
      </c>
      <c r="F19" s="21">
        <v>50000</v>
      </c>
      <c r="H19" s="21">
        <f t="shared" si="0"/>
        <v>600000</v>
      </c>
    </row>
    <row r="20" spans="2:8" ht="15" customHeight="1">
      <c r="B20" s="337"/>
      <c r="D20" s="55"/>
    </row>
    <row r="21" spans="2:8" ht="15" customHeight="1">
      <c r="D21" s="55"/>
    </row>
    <row r="22" spans="2:8" ht="15" customHeight="1">
      <c r="B22" s="337"/>
      <c r="D22" s="55"/>
    </row>
    <row r="23" spans="2:8" ht="15" customHeight="1">
      <c r="B23"/>
    </row>
    <row r="24" spans="2:8" ht="15" customHeight="1">
      <c r="B24"/>
    </row>
    <row r="25" spans="2:8" ht="15" customHeight="1">
      <c r="B25"/>
    </row>
    <row r="26" spans="2:8" ht="15" customHeight="1">
      <c r="B26"/>
    </row>
    <row r="27" spans="2:8" ht="15" customHeight="1">
      <c r="B27"/>
    </row>
    <row r="28" spans="2:8" ht="15" customHeight="1">
      <c r="B28"/>
    </row>
    <row r="29" spans="2:8" ht="15" customHeight="1">
      <c r="B29"/>
    </row>
    <row r="30" spans="2:8" ht="15" customHeight="1">
      <c r="B30"/>
    </row>
    <row r="31" spans="2:8" ht="15" customHeight="1">
      <c r="B31"/>
    </row>
    <row r="32" spans="2:8" ht="15" customHeight="1">
      <c r="B32"/>
    </row>
    <row r="33" spans="2:16" ht="15" customHeight="1">
      <c r="B33"/>
    </row>
    <row r="34" spans="2:16">
      <c r="B34"/>
      <c r="F34"/>
      <c r="G34"/>
      <c r="H34"/>
    </row>
    <row r="35" spans="2:16">
      <c r="B35"/>
      <c r="F35"/>
      <c r="G35"/>
      <c r="H35"/>
      <c r="L35"/>
      <c r="M35"/>
      <c r="N35"/>
      <c r="O35"/>
      <c r="P35"/>
    </row>
    <row r="36" spans="2:16">
      <c r="B36"/>
      <c r="F36"/>
      <c r="G36"/>
      <c r="H36"/>
      <c r="L36"/>
      <c r="M36"/>
      <c r="N36"/>
      <c r="O36"/>
      <c r="P36"/>
    </row>
    <row r="37" spans="2:16">
      <c r="B37"/>
      <c r="F37"/>
      <c r="G37"/>
      <c r="H37"/>
      <c r="L37"/>
      <c r="M37"/>
      <c r="N37"/>
      <c r="O37"/>
      <c r="P37"/>
    </row>
    <row r="38" spans="2:16">
      <c r="B38"/>
      <c r="F38"/>
      <c r="G38"/>
      <c r="H38"/>
      <c r="L38"/>
      <c r="M38"/>
      <c r="N38"/>
      <c r="O38"/>
      <c r="P38"/>
    </row>
    <row r="39" spans="2:16">
      <c r="B39"/>
      <c r="F39"/>
      <c r="G39"/>
      <c r="H39"/>
      <c r="L39"/>
      <c r="M39"/>
      <c r="N39"/>
      <c r="O39"/>
      <c r="P39"/>
    </row>
    <row r="40" spans="2:16">
      <c r="B40"/>
      <c r="F40"/>
      <c r="G40"/>
      <c r="H40"/>
      <c r="L40"/>
      <c r="M40"/>
      <c r="N40"/>
      <c r="O40"/>
      <c r="P40"/>
    </row>
    <row r="41" spans="2:16">
      <c r="B41"/>
      <c r="F41"/>
      <c r="G41"/>
      <c r="H41"/>
      <c r="L41"/>
      <c r="M41"/>
      <c r="N41"/>
      <c r="O41"/>
      <c r="P41"/>
    </row>
    <row r="42" spans="2:16">
      <c r="B42"/>
      <c r="F42"/>
      <c r="G42"/>
      <c r="H42"/>
      <c r="L42"/>
      <c r="M42"/>
      <c r="N42"/>
      <c r="O42"/>
      <c r="P42"/>
    </row>
    <row r="43" spans="2:16">
      <c r="B43"/>
      <c r="F43"/>
      <c r="G43"/>
      <c r="H43"/>
      <c r="L43"/>
      <c r="M43"/>
      <c r="N43"/>
      <c r="O43"/>
      <c r="P43"/>
    </row>
    <row r="44" spans="2:16">
      <c r="B44"/>
      <c r="F44"/>
      <c r="G44"/>
      <c r="H44"/>
      <c r="L44"/>
      <c r="M44"/>
      <c r="N44"/>
      <c r="O44"/>
      <c r="P44"/>
    </row>
    <row r="45" spans="2:16">
      <c r="B45"/>
      <c r="F45"/>
      <c r="G45"/>
      <c r="H45"/>
      <c r="L45"/>
      <c r="M45"/>
      <c r="N45"/>
      <c r="O45"/>
      <c r="P45"/>
    </row>
    <row r="46" spans="2:16">
      <c r="B46"/>
      <c r="F46"/>
      <c r="G46"/>
      <c r="H46"/>
      <c r="L46"/>
      <c r="M46"/>
      <c r="N46"/>
      <c r="O46"/>
      <c r="P46"/>
    </row>
    <row r="51" spans="2:16">
      <c r="B51"/>
      <c r="D51" s="76" t="s">
        <v>307</v>
      </c>
      <c r="E51" s="48"/>
      <c r="F51" s="53">
        <f>SUM(F15:F50)</f>
        <v>1100000</v>
      </c>
      <c r="G51" s="53">
        <f>SUM(G15:G50)</f>
        <v>500000</v>
      </c>
      <c r="H51" s="77">
        <f>F51-G51</f>
        <v>600000</v>
      </c>
      <c r="L51" s="92">
        <f>SUM(L3:L11)</f>
        <v>500000</v>
      </c>
      <c r="M51" s="92">
        <f>SUM(M3:M30)</f>
        <v>100000</v>
      </c>
      <c r="N51" s="92">
        <f>SUM(N3:N11)</f>
        <v>0</v>
      </c>
      <c r="O51" s="92">
        <f>SUM(O3:O11)</f>
        <v>0</v>
      </c>
      <c r="P51" s="92">
        <f>SUM(P3:P11)</f>
        <v>0</v>
      </c>
    </row>
    <row r="52" spans="2:16">
      <c r="P52" s="92">
        <f>SUM(L51:P51)</f>
        <v>600000</v>
      </c>
    </row>
    <row r="54" spans="2:16">
      <c r="L54" s="342"/>
      <c r="M54" s="342"/>
      <c r="N54"/>
      <c r="O54"/>
      <c r="P54"/>
    </row>
  </sheetData>
  <mergeCells count="2">
    <mergeCell ref="L1:P1"/>
    <mergeCell ref="C6:E6"/>
  </mergeCells>
  <pageMargins left="0.7" right="0.7" top="0.75" bottom="0.75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00FF00"/>
  </sheetPr>
  <dimension ref="B1:P44"/>
  <sheetViews>
    <sheetView topLeftCell="A16" workbookViewId="0">
      <selection activeCell="M5" sqref="M5"/>
    </sheetView>
  </sheetViews>
  <sheetFormatPr defaultRowHeight="12.75"/>
  <cols>
    <col min="1" max="1" width="0.5703125" customWidth="1"/>
    <col min="2" max="2" width="11.28515625" style="19" customWidth="1"/>
    <col min="3" max="3" width="2.28515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 s="312" customFormat="1">
      <c r="B1" s="54" t="s">
        <v>49</v>
      </c>
      <c r="C1" s="55" t="s">
        <v>3</v>
      </c>
      <c r="D1" s="26" t="s">
        <v>988</v>
      </c>
      <c r="E1" s="55"/>
      <c r="F1" s="66"/>
      <c r="G1" s="307" t="s">
        <v>991</v>
      </c>
      <c r="H1" s="66"/>
      <c r="I1" s="55"/>
      <c r="J1" s="55"/>
      <c r="K1" s="55"/>
      <c r="L1" s="682" t="s">
        <v>337</v>
      </c>
      <c r="M1" s="682"/>
      <c r="N1" s="682"/>
      <c r="O1" s="682"/>
      <c r="P1" s="682"/>
    </row>
    <row r="2" spans="2:16" s="312" customFormat="1">
      <c r="B2" s="54" t="s">
        <v>50</v>
      </c>
      <c r="C2" s="55" t="s">
        <v>3</v>
      </c>
      <c r="D2" s="308" t="s">
        <v>204</v>
      </c>
      <c r="E2" s="55"/>
      <c r="F2" s="66"/>
      <c r="G2" s="307" t="s">
        <v>53</v>
      </c>
      <c r="H2" s="66"/>
      <c r="I2" s="55"/>
      <c r="J2" s="55"/>
      <c r="K2" s="55"/>
      <c r="L2" s="163" t="s">
        <v>338</v>
      </c>
      <c r="M2" s="163" t="s">
        <v>339</v>
      </c>
      <c r="N2" s="163" t="s">
        <v>340</v>
      </c>
      <c r="O2" s="163" t="s">
        <v>393</v>
      </c>
      <c r="P2" s="163" t="s">
        <v>341</v>
      </c>
    </row>
    <row r="3" spans="2:16" s="312" customFormat="1">
      <c r="B3" s="54" t="s">
        <v>11</v>
      </c>
      <c r="C3" s="55" t="s">
        <v>3</v>
      </c>
      <c r="D3" s="25" t="s">
        <v>989</v>
      </c>
      <c r="E3" s="55"/>
      <c r="F3" s="66"/>
      <c r="G3" s="307" t="s">
        <v>61</v>
      </c>
      <c r="H3" s="311" t="s">
        <v>990</v>
      </c>
      <c r="I3" s="55"/>
      <c r="J3" s="55"/>
      <c r="K3" s="55"/>
      <c r="L3" s="309">
        <f>F15</f>
        <v>500000</v>
      </c>
      <c r="M3" s="309">
        <v>50000</v>
      </c>
      <c r="N3" s="309"/>
      <c r="O3" s="309"/>
      <c r="P3" s="309"/>
    </row>
    <row r="4" spans="2:16" s="312" customFormat="1">
      <c r="B4" s="54"/>
      <c r="C4" s="55"/>
      <c r="D4" s="55" t="s">
        <v>52</v>
      </c>
      <c r="E4" s="55"/>
      <c r="F4" s="66"/>
      <c r="G4" s="307" t="s">
        <v>975</v>
      </c>
      <c r="H4" s="372">
        <f>B15</f>
        <v>43516</v>
      </c>
      <c r="I4" s="55"/>
      <c r="J4" s="55"/>
      <c r="K4" s="55"/>
      <c r="L4" s="309"/>
      <c r="M4" s="309">
        <v>200000</v>
      </c>
      <c r="N4" s="309"/>
      <c r="O4" s="309"/>
      <c r="P4" s="55"/>
    </row>
    <row r="5" spans="2:16" s="312" customFormat="1">
      <c r="B5" s="54"/>
      <c r="C5" s="55"/>
      <c r="D5" s="55"/>
      <c r="E5" s="55"/>
      <c r="F5" s="66"/>
      <c r="G5" s="307"/>
      <c r="H5" s="66"/>
      <c r="I5" s="55"/>
      <c r="J5" s="55"/>
      <c r="K5" s="55"/>
      <c r="L5" s="55"/>
      <c r="M5" s="309"/>
      <c r="N5" s="55"/>
      <c r="O5" s="55"/>
      <c r="P5" s="55"/>
    </row>
    <row r="6" spans="2:16" s="312" customFormat="1">
      <c r="B6" s="54"/>
      <c r="C6" s="55"/>
      <c r="D6" s="55"/>
      <c r="E6" s="55"/>
      <c r="F6" s="66"/>
      <c r="G6" s="307" t="s">
        <v>962</v>
      </c>
      <c r="H6" s="66"/>
      <c r="I6" s="55"/>
      <c r="J6" s="55"/>
      <c r="K6" s="55"/>
      <c r="L6" s="55"/>
      <c r="M6" s="309"/>
      <c r="N6" s="55"/>
      <c r="O6" s="318"/>
      <c r="P6" s="55"/>
    </row>
    <row r="7" spans="2:16" s="312" customFormat="1">
      <c r="B7" s="54"/>
      <c r="C7" s="55"/>
      <c r="D7" s="55"/>
      <c r="E7" s="55"/>
      <c r="F7" s="66"/>
      <c r="G7" s="24" t="s">
        <v>992</v>
      </c>
      <c r="H7" s="66"/>
      <c r="I7" s="55"/>
      <c r="J7" s="55"/>
      <c r="K7" s="55"/>
      <c r="L7" s="55"/>
      <c r="M7" s="309"/>
      <c r="N7" s="55"/>
      <c r="O7" s="318"/>
      <c r="P7" s="55"/>
    </row>
    <row r="8" spans="2:16" s="312" customFormat="1">
      <c r="B8" s="54"/>
      <c r="C8" s="55"/>
      <c r="D8" s="55"/>
      <c r="E8" s="55"/>
      <c r="F8" s="66"/>
      <c r="G8" s="307"/>
      <c r="H8" s="66"/>
      <c r="I8" s="55"/>
      <c r="J8" s="55"/>
      <c r="K8" s="55"/>
      <c r="L8" s="55"/>
      <c r="M8" s="55"/>
      <c r="N8" s="55"/>
      <c r="O8" s="55"/>
      <c r="P8" s="55"/>
    </row>
    <row r="9" spans="2:16" s="312" customFormat="1">
      <c r="B9" s="54"/>
      <c r="C9" s="55"/>
      <c r="D9" s="55"/>
      <c r="E9" s="55"/>
      <c r="F9" s="66"/>
      <c r="G9" s="66"/>
      <c r="H9" s="66"/>
      <c r="I9" s="55"/>
      <c r="J9" s="55"/>
      <c r="K9" s="55"/>
      <c r="L9" s="55"/>
      <c r="M9" s="55"/>
      <c r="N9" s="55"/>
      <c r="O9" s="55"/>
      <c r="P9" s="55"/>
    </row>
    <row r="10" spans="2:16" s="312" customFormat="1">
      <c r="B10" s="54"/>
      <c r="C10" s="55"/>
      <c r="D10" s="55"/>
      <c r="E10" s="55"/>
      <c r="F10" s="66"/>
      <c r="G10" s="66"/>
      <c r="H10" s="66"/>
      <c r="I10" s="55"/>
      <c r="J10" s="55"/>
      <c r="K10" s="55"/>
      <c r="L10" s="55"/>
      <c r="M10" s="55"/>
      <c r="N10" s="55"/>
      <c r="O10" s="55"/>
      <c r="P10" s="55"/>
    </row>
    <row r="11" spans="2:16" s="312" customFormat="1">
      <c r="B11" s="54"/>
      <c r="C11" s="55"/>
      <c r="D11" s="55"/>
      <c r="E11" s="55"/>
      <c r="F11" s="66"/>
      <c r="G11" s="307" t="s">
        <v>56</v>
      </c>
      <c r="H11" s="66"/>
      <c r="I11" s="55"/>
      <c r="J11" s="55"/>
      <c r="K11" s="55"/>
      <c r="L11" s="55"/>
      <c r="M11" s="55"/>
      <c r="N11" s="55"/>
      <c r="O11" s="55"/>
      <c r="P11" s="55"/>
    </row>
    <row r="12" spans="2:16" s="312" customFormat="1">
      <c r="B12" s="54"/>
      <c r="C12" s="55"/>
      <c r="D12" s="55"/>
      <c r="E12" s="55"/>
      <c r="F12" s="66"/>
      <c r="G12" s="66"/>
      <c r="H12" s="66"/>
      <c r="I12" s="55"/>
      <c r="J12" s="55"/>
      <c r="K12" s="55"/>
      <c r="L12" s="55"/>
      <c r="M12" s="55"/>
      <c r="N12" s="55"/>
      <c r="O12" s="55"/>
      <c r="P12" s="55"/>
    </row>
    <row r="13" spans="2:16" s="312" customFormat="1">
      <c r="B13" s="54"/>
      <c r="C13" s="55"/>
      <c r="D13" s="55"/>
      <c r="E13" s="55"/>
      <c r="F13" s="66"/>
      <c r="G13" s="66"/>
      <c r="H13" s="66"/>
      <c r="I13" s="55"/>
      <c r="J13" s="55"/>
      <c r="K13" s="55"/>
      <c r="L13" s="55"/>
      <c r="M13" s="55"/>
      <c r="N13" s="55"/>
      <c r="O13" s="55"/>
      <c r="P13" s="55"/>
    </row>
    <row r="14" spans="2:16" s="312" customFormat="1">
      <c r="B14" s="54" t="s">
        <v>57</v>
      </c>
      <c r="C14" s="55"/>
      <c r="D14" s="55" t="s">
        <v>58</v>
      </c>
      <c r="E14" s="55"/>
      <c r="F14" s="310" t="s">
        <v>87</v>
      </c>
      <c r="G14" s="310" t="s">
        <v>88</v>
      </c>
      <c r="H14" s="310" t="s">
        <v>89</v>
      </c>
      <c r="I14" s="55"/>
      <c r="J14" s="55"/>
      <c r="K14" s="55"/>
      <c r="L14" s="55"/>
      <c r="M14" s="55"/>
      <c r="N14" s="55"/>
      <c r="O14" s="55"/>
      <c r="P14" s="55"/>
    </row>
    <row r="15" spans="2:16" s="312" customFormat="1" ht="15" customHeight="1">
      <c r="B15" s="54">
        <v>43516</v>
      </c>
      <c r="C15" s="55"/>
      <c r="D15" s="55" t="s">
        <v>932</v>
      </c>
      <c r="E15" s="55"/>
      <c r="F15" s="66">
        <v>500000</v>
      </c>
      <c r="G15" s="311"/>
      <c r="H15" s="66">
        <f>F15-G15</f>
        <v>500000</v>
      </c>
      <c r="I15" s="55"/>
      <c r="J15" s="55"/>
      <c r="K15" s="55"/>
      <c r="L15" s="55"/>
      <c r="M15" s="55"/>
      <c r="N15" s="55"/>
      <c r="O15" s="55"/>
      <c r="P15" s="55"/>
    </row>
    <row r="16" spans="2:16" s="312" customFormat="1" ht="15" customHeight="1">
      <c r="B16" s="54">
        <v>43516</v>
      </c>
      <c r="C16" s="55"/>
      <c r="D16" s="55" t="s">
        <v>917</v>
      </c>
      <c r="E16" s="55"/>
      <c r="F16" s="66">
        <v>50000</v>
      </c>
      <c r="G16" s="66"/>
      <c r="H16" s="66">
        <f>H15+F16-G16</f>
        <v>550000</v>
      </c>
      <c r="I16" s="55"/>
      <c r="J16" s="55"/>
      <c r="K16" s="55"/>
      <c r="L16" s="55"/>
      <c r="M16" s="55"/>
      <c r="N16" s="55"/>
      <c r="O16" s="55"/>
      <c r="P16" s="55"/>
    </row>
    <row r="17" spans="2:16" s="312" customFormat="1" ht="15" customHeight="1">
      <c r="B17" s="54">
        <v>43616</v>
      </c>
      <c r="C17" s="55"/>
      <c r="D17" s="55" t="s">
        <v>917</v>
      </c>
      <c r="E17" s="55"/>
      <c r="F17" s="66">
        <v>200000</v>
      </c>
      <c r="G17" s="66"/>
      <c r="H17" s="66">
        <f>H16+F17-G17</f>
        <v>750000</v>
      </c>
      <c r="I17" s="55"/>
      <c r="J17" s="55"/>
      <c r="K17" s="55"/>
      <c r="L17" s="55"/>
      <c r="M17" s="55"/>
      <c r="N17" s="55"/>
      <c r="O17" s="55"/>
      <c r="P17" s="55"/>
    </row>
    <row r="18" spans="2:16" s="312" customFormat="1" ht="15" customHeight="1">
      <c r="B18" s="54"/>
      <c r="C18" s="55"/>
      <c r="D18" s="55"/>
      <c r="E18" s="55"/>
      <c r="F18" s="66"/>
      <c r="G18" s="66"/>
      <c r="H18" s="66"/>
      <c r="I18" s="55"/>
      <c r="J18" s="55"/>
      <c r="K18" s="55"/>
      <c r="L18" s="55"/>
      <c r="M18" s="55"/>
      <c r="N18" s="55"/>
      <c r="O18" s="55"/>
      <c r="P18" s="55"/>
    </row>
    <row r="19" spans="2:16" ht="15" customHeight="1">
      <c r="B19" s="54"/>
      <c r="C19" s="55"/>
      <c r="D19" s="55"/>
      <c r="E19" s="55"/>
      <c r="F19" s="66"/>
      <c r="G19" s="66"/>
      <c r="H19" s="66"/>
      <c r="I19" s="55"/>
      <c r="J19" s="55"/>
      <c r="K19" s="55"/>
      <c r="L19" s="55"/>
      <c r="M19" s="55"/>
      <c r="N19" s="55"/>
      <c r="O19" s="55"/>
      <c r="P19" s="55"/>
    </row>
    <row r="20" spans="2:16" ht="15" customHeight="1">
      <c r="B20" s="54"/>
      <c r="C20" s="55"/>
      <c r="D20" s="55"/>
      <c r="E20" s="55"/>
      <c r="F20" s="66"/>
      <c r="H20" s="66"/>
      <c r="I20" s="55"/>
      <c r="J20" s="55"/>
      <c r="K20" s="55"/>
      <c r="L20" s="55"/>
      <c r="M20" s="55"/>
      <c r="N20" s="55"/>
      <c r="O20" s="55"/>
      <c r="P20" s="55"/>
    </row>
    <row r="21" spans="2:16" ht="15" customHeight="1">
      <c r="B21" s="54"/>
      <c r="C21" s="55"/>
      <c r="D21" s="55"/>
      <c r="E21" s="55"/>
      <c r="F21" s="66"/>
      <c r="G21" s="66"/>
      <c r="H21" s="66"/>
      <c r="I21" s="55"/>
      <c r="J21" s="55"/>
      <c r="K21" s="55"/>
      <c r="L21" s="55"/>
      <c r="M21" s="55"/>
      <c r="N21" s="55"/>
      <c r="O21" s="55"/>
      <c r="P21" s="55"/>
    </row>
    <row r="22" spans="2:16" ht="15" customHeight="1">
      <c r="B22" s="54"/>
      <c r="C22" s="55"/>
      <c r="D22" s="55"/>
      <c r="E22" s="55"/>
      <c r="F22" s="66"/>
      <c r="G22" s="66"/>
      <c r="H22" s="66"/>
      <c r="I22" s="55"/>
      <c r="J22" s="55"/>
      <c r="K22" s="55"/>
      <c r="L22" s="55"/>
      <c r="M22" s="55"/>
      <c r="N22" s="55"/>
      <c r="O22" s="55"/>
      <c r="P22" s="55"/>
    </row>
    <row r="23" spans="2:16" ht="15" customHeight="1">
      <c r="B23" s="54"/>
      <c r="C23" s="55"/>
      <c r="D23" s="55"/>
      <c r="E23" s="55"/>
      <c r="F23" s="66"/>
      <c r="G23" s="66"/>
      <c r="H23" s="66"/>
      <c r="I23" s="55"/>
      <c r="J23" s="55"/>
      <c r="K23" s="55"/>
      <c r="L23" s="55"/>
      <c r="M23" s="55"/>
      <c r="N23" s="55"/>
      <c r="O23" s="55"/>
      <c r="P23" s="55"/>
    </row>
    <row r="24" spans="2:16" ht="15" customHeight="1">
      <c r="B24" s="54"/>
      <c r="C24" s="55"/>
      <c r="D24" s="55"/>
      <c r="E24" s="55"/>
      <c r="F24" s="66"/>
      <c r="G24" s="66"/>
      <c r="H24" s="66"/>
      <c r="I24" s="55"/>
      <c r="J24" s="55"/>
      <c r="K24" s="55"/>
      <c r="L24" s="55"/>
      <c r="M24" s="55"/>
      <c r="N24" s="55"/>
      <c r="O24" s="55"/>
      <c r="P24" s="55"/>
    </row>
    <row r="25" spans="2:16" ht="15" customHeight="1">
      <c r="B25" s="54"/>
      <c r="C25" s="55"/>
      <c r="D25" s="55"/>
      <c r="E25" s="55"/>
      <c r="F25" s="66"/>
      <c r="G25" s="66"/>
      <c r="H25" s="66"/>
      <c r="I25" s="55"/>
      <c r="J25" s="55"/>
      <c r="K25" s="55"/>
      <c r="L25" s="55"/>
      <c r="M25" s="55"/>
      <c r="N25" s="55"/>
      <c r="O25" s="55"/>
      <c r="P25" s="55"/>
    </row>
    <row r="26" spans="2:16" ht="15" customHeight="1">
      <c r="B26" s="54"/>
      <c r="C26" s="55"/>
      <c r="D26" s="55"/>
      <c r="E26" s="55"/>
      <c r="F26" s="66"/>
      <c r="G26" s="66"/>
      <c r="H26" s="66"/>
      <c r="I26" s="55"/>
      <c r="J26" s="55"/>
      <c r="K26" s="55"/>
      <c r="L26" s="55"/>
      <c r="M26" s="55"/>
      <c r="N26" s="55"/>
      <c r="O26" s="55"/>
      <c r="P26" s="55"/>
    </row>
    <row r="27" spans="2:16" ht="15" customHeight="1">
      <c r="B27" s="54"/>
      <c r="C27" s="55"/>
      <c r="D27" s="55"/>
      <c r="E27" s="55"/>
      <c r="F27" s="66"/>
      <c r="G27" s="66"/>
      <c r="H27" s="66"/>
      <c r="I27" s="55"/>
      <c r="J27" s="55"/>
      <c r="K27" s="55"/>
      <c r="L27" s="55"/>
      <c r="M27" s="55"/>
      <c r="N27" s="55"/>
      <c r="O27" s="55"/>
      <c r="P27" s="55"/>
    </row>
    <row r="28" spans="2:16" ht="15" customHeight="1">
      <c r="B28" s="54"/>
      <c r="C28" s="55"/>
      <c r="D28" s="55"/>
      <c r="E28" s="55"/>
      <c r="F28" s="66"/>
      <c r="G28" s="66"/>
      <c r="H28" s="66"/>
      <c r="I28" s="55"/>
      <c r="J28" s="55"/>
      <c r="K28" s="55"/>
      <c r="L28" s="55"/>
      <c r="M28" s="55"/>
      <c r="N28" s="55"/>
      <c r="O28" s="55"/>
      <c r="P28" s="55"/>
    </row>
    <row r="29" spans="2:16" ht="15" customHeight="1">
      <c r="B29" s="54"/>
      <c r="C29" s="55"/>
      <c r="D29" s="55"/>
      <c r="E29" s="55"/>
      <c r="F29" s="66"/>
      <c r="G29" s="66"/>
      <c r="H29" s="66"/>
      <c r="I29" s="55"/>
      <c r="J29" s="55"/>
      <c r="K29" s="55"/>
      <c r="L29" s="55"/>
      <c r="M29" s="55"/>
      <c r="N29" s="55"/>
      <c r="O29" s="55"/>
      <c r="P29" s="55"/>
    </row>
    <row r="30" spans="2:16" ht="15" customHeight="1">
      <c r="B30" s="54"/>
      <c r="C30" s="55"/>
      <c r="D30" s="55"/>
      <c r="E30" s="55"/>
      <c r="F30" s="66"/>
      <c r="G30" s="66"/>
      <c r="H30" s="66"/>
      <c r="I30" s="55"/>
      <c r="J30" s="55"/>
      <c r="K30" s="55"/>
      <c r="L30" s="55"/>
      <c r="M30" s="55"/>
      <c r="N30" s="55"/>
      <c r="O30" s="55"/>
      <c r="P30" s="55"/>
    </row>
    <row r="31" spans="2:16" ht="15" customHeight="1">
      <c r="B31" s="54"/>
      <c r="C31" s="55"/>
      <c r="D31" s="55"/>
      <c r="E31" s="55"/>
      <c r="F31" s="66"/>
      <c r="G31" s="66"/>
      <c r="H31" s="66"/>
      <c r="I31" s="55"/>
      <c r="J31" s="55"/>
      <c r="K31" s="55"/>
      <c r="L31" s="55"/>
      <c r="M31" s="55"/>
      <c r="N31" s="55"/>
      <c r="O31" s="55"/>
      <c r="P31" s="55"/>
    </row>
    <row r="32" spans="2:16" ht="15" customHeight="1">
      <c r="B32" s="54"/>
      <c r="C32" s="55"/>
      <c r="D32" s="55"/>
      <c r="E32" s="55"/>
      <c r="F32" s="66"/>
      <c r="G32" s="66"/>
      <c r="H32" s="66"/>
      <c r="I32" s="55"/>
      <c r="J32" s="55"/>
      <c r="K32" s="55"/>
      <c r="L32" s="55"/>
      <c r="M32" s="55"/>
      <c r="N32" s="55"/>
      <c r="O32" s="55"/>
      <c r="P32" s="55"/>
    </row>
    <row r="33" spans="2:16" ht="15" customHeight="1">
      <c r="B33" s="54"/>
      <c r="C33" s="55"/>
      <c r="D33" s="55"/>
      <c r="E33" s="55"/>
      <c r="F33" s="66"/>
      <c r="G33" s="66"/>
      <c r="H33" s="66"/>
      <c r="I33" s="55"/>
      <c r="J33" s="55"/>
      <c r="K33" s="55"/>
      <c r="L33" s="55"/>
      <c r="M33" s="55"/>
      <c r="N33" s="55"/>
      <c r="O33" s="55"/>
      <c r="P33" s="55"/>
    </row>
    <row r="34" spans="2:16" ht="15" customHeight="1">
      <c r="B34" s="54"/>
      <c r="C34" s="55"/>
      <c r="D34" s="55"/>
      <c r="E34" s="55"/>
      <c r="F34" s="66"/>
      <c r="G34" s="66"/>
      <c r="H34" s="66"/>
      <c r="I34" s="55"/>
      <c r="J34" s="55"/>
      <c r="K34" s="55"/>
      <c r="L34" s="55"/>
      <c r="M34" s="55"/>
      <c r="N34" s="55"/>
      <c r="O34" s="55"/>
      <c r="P34" s="55"/>
    </row>
    <row r="35" spans="2:16" ht="15" customHeight="1">
      <c r="B35" s="54"/>
      <c r="C35" s="55"/>
      <c r="D35" s="55"/>
      <c r="E35" s="55"/>
      <c r="F35" s="66"/>
      <c r="G35" s="66"/>
      <c r="H35" s="66"/>
      <c r="I35" s="55"/>
      <c r="J35" s="55"/>
      <c r="K35" s="55"/>
      <c r="L35" s="55"/>
      <c r="M35" s="55"/>
      <c r="N35" s="55"/>
      <c r="O35" s="55"/>
      <c r="P35" s="55"/>
    </row>
    <row r="36" spans="2:16" ht="15" customHeight="1">
      <c r="B36" s="54"/>
      <c r="C36" s="55"/>
      <c r="D36" s="55"/>
      <c r="E36" s="55"/>
      <c r="F36" s="66"/>
      <c r="G36" s="66"/>
      <c r="H36" s="66"/>
      <c r="I36" s="55"/>
      <c r="J36" s="55"/>
      <c r="K36" s="55"/>
      <c r="L36" s="55"/>
      <c r="M36" s="55"/>
      <c r="N36" s="55"/>
      <c r="O36" s="55"/>
      <c r="P36" s="55"/>
    </row>
    <row r="37" spans="2:16" ht="15" customHeight="1">
      <c r="B37" s="54"/>
      <c r="C37" s="55"/>
      <c r="D37" s="55"/>
      <c r="E37" s="55"/>
      <c r="F37" s="66"/>
      <c r="G37" s="66"/>
      <c r="H37" s="66"/>
      <c r="I37" s="55"/>
      <c r="J37" s="55"/>
      <c r="K37" s="55"/>
      <c r="L37" s="55"/>
      <c r="M37" s="55"/>
      <c r="N37" s="55"/>
      <c r="O37" s="55"/>
      <c r="P37" s="55"/>
    </row>
    <row r="38" spans="2:16" ht="15" customHeight="1">
      <c r="B38" s="54"/>
      <c r="C38" s="55"/>
      <c r="D38" s="55"/>
      <c r="E38" s="55"/>
      <c r="F38" s="66"/>
      <c r="G38" s="66"/>
      <c r="H38" s="66"/>
      <c r="I38" s="55"/>
      <c r="J38" s="55"/>
      <c r="K38" s="55"/>
      <c r="L38" s="55"/>
      <c r="M38" s="55"/>
      <c r="N38" s="55"/>
      <c r="O38" s="55"/>
      <c r="P38" s="55"/>
    </row>
    <row r="43" spans="2:16" ht="15" customHeight="1">
      <c r="D43" s="76" t="s">
        <v>307</v>
      </c>
      <c r="E43" s="48"/>
      <c r="F43" s="53">
        <f>SUM(F15:F42)</f>
        <v>750000</v>
      </c>
      <c r="G43" s="53">
        <f>SUM(G15:G42)</f>
        <v>0</v>
      </c>
      <c r="H43" s="77">
        <f>F43-G43</f>
        <v>750000</v>
      </c>
      <c r="L43" s="92">
        <f>SUM(L3:L11)</f>
        <v>500000</v>
      </c>
      <c r="M43" s="92">
        <f>SUM(M3:M11)</f>
        <v>250000</v>
      </c>
      <c r="N43" s="92">
        <f>SUM(N3:N11)</f>
        <v>0</v>
      </c>
      <c r="O43" s="92">
        <f>SUM(O3:O11)</f>
        <v>0</v>
      </c>
      <c r="P43" s="92">
        <f>SUM(P3:P11)</f>
        <v>0</v>
      </c>
    </row>
    <row r="44" spans="2:16">
      <c r="P44" s="92">
        <f>SUM(L43:P43)</f>
        <v>750000</v>
      </c>
    </row>
  </sheetData>
  <mergeCells count="1">
    <mergeCell ref="L1:P1"/>
  </mergeCells>
  <phoneticPr fontId="7" type="noConversion"/>
  <pageMargins left="0.25" right="0.75" top="0.6" bottom="1" header="0.3" footer="0.5"/>
  <pageSetup scale="90" orientation="landscape" horizontalDpi="4294967293" verticalDpi="0" r:id="rId1"/>
  <headerFooter alignWithMargins="0"/>
  <legacyDrawing r:id="rId2"/>
  <oleObjects>
    <oleObject progId="CorelDRAW.Graphic.11" shapeId="28673" r:id="rId3"/>
    <oleObject progId="CorelDRAW.Graphic.11" shapeId="28674" r:id="rId4"/>
  </oleObjects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FFFF00"/>
  </sheetPr>
  <dimension ref="B1:P54"/>
  <sheetViews>
    <sheetView zoomScale="80" zoomScaleNormal="80" workbookViewId="0">
      <selection activeCell="M12" sqref="M12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573</v>
      </c>
      <c r="G1" s="18" t="s">
        <v>995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205</v>
      </c>
      <c r="G2" s="18" t="s">
        <v>53</v>
      </c>
      <c r="H2" s="159"/>
      <c r="L2" s="155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574</v>
      </c>
      <c r="G3" s="18" t="s">
        <v>61</v>
      </c>
      <c r="H3" s="292" t="s">
        <v>576</v>
      </c>
      <c r="L3" s="156">
        <v>100000</v>
      </c>
      <c r="M3" s="156">
        <v>50000</v>
      </c>
      <c r="N3" s="92"/>
      <c r="O3" s="92"/>
      <c r="P3" s="92"/>
    </row>
    <row r="4" spans="2:16">
      <c r="D4" s="55" t="s">
        <v>575</v>
      </c>
      <c r="G4" s="89" t="s">
        <v>379</v>
      </c>
      <c r="H4" s="141">
        <f>B15</f>
        <v>43524</v>
      </c>
      <c r="L4" s="156">
        <v>100000</v>
      </c>
      <c r="M4" s="156">
        <v>50000</v>
      </c>
      <c r="N4" s="92"/>
      <c r="O4" s="92"/>
    </row>
    <row r="5" spans="2:16">
      <c r="G5" s="18"/>
      <c r="L5" s="156">
        <v>100000</v>
      </c>
      <c r="M5" s="156">
        <v>50000</v>
      </c>
    </row>
    <row r="6" spans="2:16">
      <c r="C6" s="686" t="s">
        <v>454</v>
      </c>
      <c r="D6" s="686"/>
      <c r="E6" s="686"/>
      <c r="G6" s="89" t="s">
        <v>381</v>
      </c>
      <c r="H6" s="142">
        <f>H4</f>
        <v>43524</v>
      </c>
      <c r="L6" s="156">
        <v>200000</v>
      </c>
      <c r="M6" s="156">
        <v>50000</v>
      </c>
    </row>
    <row r="7" spans="2:16">
      <c r="G7" s="24" t="s">
        <v>55</v>
      </c>
      <c r="M7" s="156">
        <v>50000</v>
      </c>
    </row>
    <row r="8" spans="2:16">
      <c r="G8" s="18"/>
      <c r="M8" s="156">
        <v>50000</v>
      </c>
    </row>
    <row r="9" spans="2:16">
      <c r="M9" s="156">
        <v>50000</v>
      </c>
    </row>
    <row r="10" spans="2:16">
      <c r="M10" s="156">
        <v>50000</v>
      </c>
    </row>
    <row r="11" spans="2:16">
      <c r="G11" s="18" t="s">
        <v>56</v>
      </c>
      <c r="M11" s="156">
        <v>100000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43524</v>
      </c>
      <c r="D15" s="55" t="s">
        <v>932</v>
      </c>
      <c r="F15" s="21">
        <v>100000</v>
      </c>
      <c r="H15" s="21">
        <f>F15-G15</f>
        <v>100000</v>
      </c>
    </row>
    <row r="16" spans="2:16" ht="15" customHeight="1">
      <c r="B16" s="19">
        <v>43557</v>
      </c>
      <c r="D16" s="55" t="s">
        <v>932</v>
      </c>
      <c r="F16" s="21">
        <v>100000</v>
      </c>
      <c r="H16" s="21">
        <f t="shared" ref="H16:H28" si="0">H15+F16-G16</f>
        <v>200000</v>
      </c>
    </row>
    <row r="17" spans="2:8" ht="15" customHeight="1">
      <c r="B17" s="19">
        <v>43588</v>
      </c>
      <c r="D17" s="55" t="s">
        <v>932</v>
      </c>
      <c r="F17" s="21">
        <v>100000</v>
      </c>
      <c r="H17" s="21">
        <f t="shared" si="0"/>
        <v>300000</v>
      </c>
    </row>
    <row r="18" spans="2:8" ht="15" customHeight="1">
      <c r="B18" s="19">
        <v>43657</v>
      </c>
      <c r="D18" s="55" t="s">
        <v>932</v>
      </c>
      <c r="F18" s="21">
        <v>200000</v>
      </c>
      <c r="H18" s="21">
        <f t="shared" si="0"/>
        <v>500000</v>
      </c>
    </row>
    <row r="19" spans="2:8" ht="15" customHeight="1">
      <c r="B19" s="19">
        <v>43778</v>
      </c>
      <c r="D19" s="55" t="s">
        <v>932</v>
      </c>
      <c r="F19" s="291">
        <v>50000</v>
      </c>
      <c r="H19" s="21">
        <f t="shared" si="0"/>
        <v>550000</v>
      </c>
    </row>
    <row r="20" spans="2:8" ht="15" customHeight="1">
      <c r="B20" s="302">
        <v>43797</v>
      </c>
      <c r="D20" s="55" t="s">
        <v>932</v>
      </c>
      <c r="F20" s="291">
        <v>50000</v>
      </c>
      <c r="H20" s="21">
        <f t="shared" si="0"/>
        <v>600000</v>
      </c>
    </row>
    <row r="21" spans="2:8" ht="15" customHeight="1">
      <c r="B21" s="337">
        <v>43827</v>
      </c>
      <c r="D21" s="55" t="s">
        <v>932</v>
      </c>
      <c r="F21" s="291">
        <v>50000</v>
      </c>
      <c r="H21" s="21">
        <f t="shared" si="0"/>
        <v>650000</v>
      </c>
    </row>
    <row r="22" spans="2:8" ht="15" customHeight="1">
      <c r="B22" s="302">
        <v>43859</v>
      </c>
      <c r="D22" s="55" t="s">
        <v>932</v>
      </c>
      <c r="F22" s="291">
        <v>50000</v>
      </c>
      <c r="H22" s="21">
        <f t="shared" si="0"/>
        <v>700000</v>
      </c>
    </row>
    <row r="23" spans="2:8" ht="15" customHeight="1">
      <c r="B23" s="337">
        <v>43922</v>
      </c>
      <c r="D23" s="55" t="s">
        <v>932</v>
      </c>
      <c r="F23" s="291">
        <v>50000</v>
      </c>
      <c r="H23" s="21">
        <f t="shared" si="0"/>
        <v>750000</v>
      </c>
    </row>
    <row r="24" spans="2:8" ht="15" customHeight="1">
      <c r="B24" s="337">
        <v>43951</v>
      </c>
      <c r="D24" s="55" t="s">
        <v>932</v>
      </c>
      <c r="F24" s="291">
        <v>50000</v>
      </c>
      <c r="H24" s="21">
        <f t="shared" si="0"/>
        <v>800000</v>
      </c>
    </row>
    <row r="25" spans="2:8" ht="15" customHeight="1">
      <c r="B25" s="337">
        <v>43983</v>
      </c>
      <c r="D25" s="55" t="s">
        <v>932</v>
      </c>
      <c r="F25" s="21">
        <v>50000</v>
      </c>
      <c r="H25" s="21">
        <f t="shared" si="0"/>
        <v>850000</v>
      </c>
    </row>
    <row r="26" spans="2:8" ht="15" customHeight="1">
      <c r="B26" s="337">
        <v>44015</v>
      </c>
      <c r="D26" t="s">
        <v>932</v>
      </c>
      <c r="F26" s="21">
        <v>50000</v>
      </c>
      <c r="H26" s="21">
        <f t="shared" si="0"/>
        <v>900000</v>
      </c>
    </row>
    <row r="27" spans="2:8" ht="15" customHeight="1">
      <c r="B27" s="337">
        <v>44077</v>
      </c>
      <c r="D27" t="s">
        <v>932</v>
      </c>
      <c r="F27" s="21">
        <v>100000</v>
      </c>
      <c r="H27" s="21">
        <f t="shared" si="0"/>
        <v>1000000</v>
      </c>
    </row>
    <row r="28" spans="2:8" ht="15" customHeight="1">
      <c r="B28" s="337"/>
      <c r="H28" s="21">
        <f t="shared" si="0"/>
        <v>1000000</v>
      </c>
    </row>
    <row r="29" spans="2:8" ht="15" customHeight="1">
      <c r="B29"/>
    </row>
    <row r="30" spans="2:8" ht="15" customHeight="1">
      <c r="B30"/>
    </row>
    <row r="31" spans="2:8" ht="15" customHeight="1">
      <c r="B31"/>
    </row>
    <row r="32" spans="2:8" ht="15" customHeight="1">
      <c r="B32"/>
    </row>
    <row r="33" spans="2:16">
      <c r="B33"/>
      <c r="F33"/>
      <c r="G33"/>
      <c r="H33"/>
    </row>
    <row r="34" spans="2:16">
      <c r="B34"/>
      <c r="F34"/>
      <c r="G34"/>
      <c r="H34"/>
    </row>
    <row r="35" spans="2:16">
      <c r="B35"/>
      <c r="F35"/>
      <c r="G35"/>
      <c r="H35"/>
      <c r="L35" s="291"/>
      <c r="M35" s="291"/>
      <c r="N35"/>
      <c r="O35"/>
      <c r="P35"/>
    </row>
    <row r="36" spans="2:16">
      <c r="B36"/>
      <c r="F36"/>
      <c r="G36"/>
      <c r="H36"/>
      <c r="L36" s="291"/>
      <c r="M36" s="291"/>
      <c r="N36"/>
      <c r="O36"/>
      <c r="P36"/>
    </row>
    <row r="37" spans="2:16">
      <c r="B37"/>
      <c r="F37"/>
      <c r="G37"/>
      <c r="H37"/>
      <c r="L37" s="291"/>
      <c r="M37" s="291"/>
      <c r="N37"/>
      <c r="O37"/>
      <c r="P37"/>
    </row>
    <row r="38" spans="2:16">
      <c r="B38"/>
      <c r="F38"/>
      <c r="G38"/>
      <c r="H38"/>
      <c r="L38" s="291"/>
      <c r="M38" s="291"/>
      <c r="N38"/>
      <c r="O38"/>
      <c r="P38"/>
    </row>
    <row r="39" spans="2:16">
      <c r="B39"/>
      <c r="F39"/>
      <c r="G39"/>
      <c r="H39"/>
      <c r="L39" s="291"/>
      <c r="M39" s="291"/>
      <c r="N39"/>
      <c r="O39"/>
      <c r="P39"/>
    </row>
    <row r="40" spans="2:16">
      <c r="B40"/>
      <c r="F40"/>
      <c r="G40"/>
      <c r="H40"/>
      <c r="L40" s="291"/>
      <c r="M40" s="291"/>
      <c r="N40"/>
      <c r="O40"/>
      <c r="P40"/>
    </row>
    <row r="41" spans="2:16">
      <c r="B41"/>
      <c r="F41"/>
      <c r="G41"/>
      <c r="H41"/>
      <c r="L41" s="291"/>
      <c r="M41" s="291"/>
      <c r="N41"/>
      <c r="O41"/>
      <c r="P41"/>
    </row>
    <row r="42" spans="2:16">
      <c r="B42"/>
      <c r="F42"/>
      <c r="G42"/>
      <c r="H42"/>
      <c r="L42" s="291"/>
      <c r="M42" s="291"/>
      <c r="N42"/>
      <c r="O42"/>
      <c r="P42"/>
    </row>
    <row r="43" spans="2:16">
      <c r="B43"/>
      <c r="F43"/>
      <c r="G43"/>
      <c r="H43"/>
      <c r="L43" s="291"/>
      <c r="M43" s="291"/>
      <c r="N43"/>
      <c r="O43"/>
      <c r="P43"/>
    </row>
    <row r="44" spans="2:16">
      <c r="B44"/>
      <c r="F44"/>
      <c r="G44"/>
      <c r="H44"/>
      <c r="L44" s="291"/>
      <c r="M44" s="291"/>
      <c r="N44"/>
      <c r="O44"/>
      <c r="P44"/>
    </row>
    <row r="45" spans="2:16">
      <c r="B45"/>
      <c r="F45"/>
      <c r="G45"/>
      <c r="H45"/>
      <c r="L45" s="291"/>
      <c r="M45" s="291"/>
      <c r="N45"/>
      <c r="O45"/>
      <c r="P45"/>
    </row>
    <row r="50" spans="2:16">
      <c r="B50"/>
      <c r="D50" s="76" t="s">
        <v>307</v>
      </c>
      <c r="E50" s="48"/>
      <c r="F50" s="53">
        <f>SUM(F15:F49)</f>
        <v>1000000</v>
      </c>
      <c r="G50" s="53">
        <f>SUM(G15:G49)</f>
        <v>0</v>
      </c>
      <c r="H50" s="77">
        <f>F50-G50</f>
        <v>1000000</v>
      </c>
      <c r="L50" s="156">
        <f>SUM(L3:L11)</f>
        <v>500000</v>
      </c>
      <c r="M50" s="156">
        <f>SUM(M3:M49)</f>
        <v>500000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2:16">
      <c r="P51" s="92">
        <f>SUM(L50:P50)</f>
        <v>1000000</v>
      </c>
    </row>
    <row r="53" spans="2:16">
      <c r="L53" s="291"/>
      <c r="M53" s="291"/>
      <c r="N53"/>
      <c r="O53"/>
      <c r="P53"/>
    </row>
    <row r="54" spans="2:16">
      <c r="L54" s="291">
        <v>9728.8340377070363</v>
      </c>
      <c r="M54" s="291">
        <v>24930.657514920156</v>
      </c>
      <c r="N54"/>
      <c r="O54"/>
      <c r="P54"/>
    </row>
  </sheetData>
  <mergeCells count="2">
    <mergeCell ref="L1:P1"/>
    <mergeCell ref="C6:E6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8">
    <tabColor rgb="FF00FF00"/>
  </sheetPr>
  <dimension ref="B1:P51"/>
  <sheetViews>
    <sheetView workbookViewId="0">
      <selection activeCell="M16" sqref="M16:M17"/>
    </sheetView>
  </sheetViews>
  <sheetFormatPr defaultRowHeight="12.75"/>
  <cols>
    <col min="1" max="1" width="2.140625" customWidth="1"/>
    <col min="2" max="2" width="11.28515625" style="19" customWidth="1"/>
    <col min="3" max="3" width="2.28515625" customWidth="1"/>
    <col min="5" max="5" width="15.28515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997</v>
      </c>
      <c r="G1" s="307" t="s">
        <v>1001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308" t="s">
        <v>206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55" t="s">
        <v>998</v>
      </c>
      <c r="G3" s="18" t="s">
        <v>61</v>
      </c>
      <c r="H3" s="311" t="s">
        <v>999</v>
      </c>
      <c r="L3" s="92">
        <f>F15</f>
        <v>500000</v>
      </c>
      <c r="M3" s="161">
        <f>F16</f>
        <v>50000</v>
      </c>
      <c r="N3" s="92">
        <f>E20</f>
        <v>0</v>
      </c>
      <c r="O3" s="92"/>
    </row>
    <row r="4" spans="2:16">
      <c r="D4" t="s">
        <v>52</v>
      </c>
      <c r="G4" s="307" t="s">
        <v>1000</v>
      </c>
      <c r="M4" s="161">
        <v>100000</v>
      </c>
      <c r="O4" s="92">
        <v>0</v>
      </c>
    </row>
    <row r="5" spans="2:16">
      <c r="G5" s="18"/>
      <c r="M5" s="161">
        <v>100000</v>
      </c>
    </row>
    <row r="6" spans="2:16">
      <c r="G6" s="307" t="s">
        <v>962</v>
      </c>
      <c r="M6" s="161">
        <v>100000</v>
      </c>
    </row>
    <row r="7" spans="2:16">
      <c r="G7" s="24" t="str">
        <f>G1</f>
        <v>Koperasi Al Fawaaid Indramayu</v>
      </c>
      <c r="M7" s="161">
        <v>100000</v>
      </c>
    </row>
    <row r="8" spans="2:16" hidden="1">
      <c r="G8" s="18"/>
    </row>
    <row r="9" spans="2:16" hidden="1"/>
    <row r="10" spans="2:16" hidden="1"/>
    <row r="11" spans="2:16">
      <c r="G11" s="18" t="s">
        <v>56</v>
      </c>
      <c r="M11" s="161">
        <v>100000</v>
      </c>
    </row>
    <row r="12" spans="2:16" hidden="1"/>
    <row r="13" spans="2:16">
      <c r="M13" s="161">
        <v>50000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61">
        <v>50000</v>
      </c>
    </row>
    <row r="15" spans="2:16" ht="15" customHeight="1">
      <c r="B15" s="19">
        <v>43529</v>
      </c>
      <c r="D15" t="s">
        <v>59</v>
      </c>
      <c r="F15" s="369">
        <v>500000</v>
      </c>
      <c r="G15" s="22"/>
      <c r="H15" s="21">
        <f>F15-G15</f>
        <v>500000</v>
      </c>
      <c r="M15" s="161">
        <v>50000</v>
      </c>
    </row>
    <row r="16" spans="2:16" ht="15" customHeight="1">
      <c r="B16" s="336">
        <v>43529</v>
      </c>
      <c r="D16" t="s">
        <v>102</v>
      </c>
      <c r="F16" s="369">
        <v>50000</v>
      </c>
      <c r="H16" s="21">
        <f t="shared" ref="H16:H25" si="0">H15+F16-G16</f>
        <v>550000</v>
      </c>
      <c r="M16" s="161">
        <v>50000</v>
      </c>
    </row>
    <row r="17" spans="2:13" ht="15" customHeight="1">
      <c r="B17" s="19">
        <v>43588</v>
      </c>
      <c r="D17" t="s">
        <v>917</v>
      </c>
      <c r="F17" s="369">
        <v>100000</v>
      </c>
      <c r="H17" s="21">
        <f t="shared" si="0"/>
        <v>650000</v>
      </c>
      <c r="M17" s="161">
        <v>50000</v>
      </c>
    </row>
    <row r="18" spans="2:13" ht="15" customHeight="1">
      <c r="B18" s="19">
        <v>43661</v>
      </c>
      <c r="D18" t="s">
        <v>917</v>
      </c>
      <c r="F18" s="369">
        <v>100000</v>
      </c>
      <c r="H18" s="21">
        <f t="shared" si="0"/>
        <v>750000</v>
      </c>
    </row>
    <row r="19" spans="2:13" ht="15" customHeight="1">
      <c r="B19" s="19">
        <v>43746</v>
      </c>
      <c r="D19" t="s">
        <v>917</v>
      </c>
      <c r="F19" s="369">
        <v>100000</v>
      </c>
      <c r="H19" s="21">
        <f t="shared" si="0"/>
        <v>850000</v>
      </c>
    </row>
    <row r="20" spans="2:13" ht="15" customHeight="1">
      <c r="B20" s="19">
        <v>43808</v>
      </c>
      <c r="D20" t="s">
        <v>917</v>
      </c>
      <c r="F20" s="369">
        <v>100000</v>
      </c>
      <c r="H20" s="21">
        <f t="shared" si="0"/>
        <v>950000</v>
      </c>
    </row>
    <row r="21" spans="2:13" ht="15" customHeight="1">
      <c r="B21" s="554">
        <v>43848</v>
      </c>
      <c r="D21" t="s">
        <v>917</v>
      </c>
      <c r="F21" s="369">
        <v>100000</v>
      </c>
      <c r="H21" s="21">
        <f t="shared" si="0"/>
        <v>1050000</v>
      </c>
    </row>
    <row r="22" spans="2:13" ht="15" customHeight="1">
      <c r="B22" s="19">
        <v>43873</v>
      </c>
      <c r="D22" t="s">
        <v>917</v>
      </c>
      <c r="F22" s="369">
        <v>50000</v>
      </c>
      <c r="H22" s="21">
        <f t="shared" si="0"/>
        <v>1100000</v>
      </c>
    </row>
    <row r="23" spans="2:13" ht="15" customHeight="1">
      <c r="B23" s="19">
        <v>43936</v>
      </c>
      <c r="D23" s="55" t="s">
        <v>917</v>
      </c>
      <c r="F23" s="369">
        <v>50000</v>
      </c>
      <c r="H23" s="21">
        <f t="shared" si="0"/>
        <v>1150000</v>
      </c>
    </row>
    <row r="24" spans="2:13" ht="15" customHeight="1">
      <c r="B24" s="19">
        <v>43963</v>
      </c>
      <c r="D24" s="55" t="s">
        <v>917</v>
      </c>
      <c r="F24" s="369">
        <v>50000</v>
      </c>
      <c r="H24" s="21">
        <f t="shared" si="0"/>
        <v>1200000</v>
      </c>
    </row>
    <row r="25" spans="2:13" ht="15" customHeight="1">
      <c r="B25" s="19">
        <v>43992</v>
      </c>
      <c r="D25" s="55" t="s">
        <v>917</v>
      </c>
      <c r="F25" s="369">
        <v>50000</v>
      </c>
      <c r="H25" s="21">
        <f t="shared" si="0"/>
        <v>1250000</v>
      </c>
    </row>
    <row r="26" spans="2:13" ht="15" customHeight="1">
      <c r="B26" s="19">
        <v>44054</v>
      </c>
      <c r="D26" s="55" t="s">
        <v>917</v>
      </c>
      <c r="F26" s="369">
        <v>50000</v>
      </c>
    </row>
    <row r="27" spans="2:13" ht="15" customHeight="1">
      <c r="D27" s="55"/>
      <c r="F27" s="369"/>
    </row>
    <row r="28" spans="2:13" ht="15" customHeight="1">
      <c r="D28" s="55"/>
      <c r="F28" s="369"/>
    </row>
    <row r="29" spans="2:13" ht="15" customHeight="1">
      <c r="D29" s="55"/>
      <c r="F29" s="369"/>
    </row>
    <row r="30" spans="2:13" ht="15" customHeight="1">
      <c r="D30" s="55"/>
      <c r="F30" s="369"/>
    </row>
    <row r="31" spans="2:13" ht="15" customHeight="1">
      <c r="B31" s="319"/>
      <c r="C31" s="324"/>
      <c r="D31" s="325"/>
      <c r="E31" s="326"/>
      <c r="F31" s="350"/>
    </row>
    <row r="32" spans="2:13" ht="15" customHeight="1">
      <c r="B32" s="319"/>
      <c r="C32" s="324"/>
      <c r="D32" s="325"/>
      <c r="E32" s="326"/>
      <c r="F32" s="350"/>
    </row>
    <row r="33" spans="2:16" ht="15" customHeight="1">
      <c r="B33" s="351"/>
      <c r="C33" s="324"/>
      <c r="D33" s="325"/>
      <c r="E33" s="325"/>
      <c r="F33" s="350"/>
    </row>
    <row r="34" spans="2:16" ht="15" customHeight="1">
      <c r="B34" s="336"/>
      <c r="F34" s="369"/>
    </row>
    <row r="35" spans="2:16" ht="15" customHeight="1">
      <c r="B35" s="336"/>
      <c r="F35" s="369"/>
    </row>
    <row r="36" spans="2:16" ht="15" customHeight="1">
      <c r="B36" s="336"/>
      <c r="F36" s="369"/>
    </row>
    <row r="37" spans="2:16" ht="15" customHeight="1">
      <c r="B37" s="351"/>
      <c r="F37" s="369"/>
    </row>
    <row r="38" spans="2:16" ht="15" customHeight="1">
      <c r="B38" s="351"/>
      <c r="G38" s="370"/>
    </row>
    <row r="39" spans="2:16" ht="15" customHeight="1"/>
    <row r="40" spans="2:16" ht="15" customHeight="1">
      <c r="D40" s="76" t="s">
        <v>307</v>
      </c>
      <c r="E40" s="48"/>
      <c r="F40" s="66">
        <f>SUM(F15:F39)</f>
        <v>1300000</v>
      </c>
      <c r="G40" s="66">
        <f>SUM(G15:G39)</f>
        <v>0</v>
      </c>
      <c r="H40" s="77">
        <f>F40-G40</f>
        <v>1300000</v>
      </c>
      <c r="L40" s="92">
        <f>SUM(L3:L11)</f>
        <v>500000</v>
      </c>
      <c r="M40" s="161">
        <f>SUM(M3:M39)</f>
        <v>800000</v>
      </c>
      <c r="N40" s="92">
        <f>SUM(N3:N11)</f>
        <v>0</v>
      </c>
      <c r="O40" s="92">
        <f>SUM(O3:O11)</f>
        <v>0</v>
      </c>
      <c r="P40" s="92">
        <f>SUM(P3:P11)</f>
        <v>0</v>
      </c>
    </row>
    <row r="41" spans="2:16" ht="15" customHeight="1">
      <c r="P41" s="92">
        <f>SUM(L40:P40)</f>
        <v>1300000</v>
      </c>
    </row>
    <row r="42" spans="2:16" ht="15" customHeight="1"/>
    <row r="43" spans="2:16" ht="15" customHeight="1"/>
    <row r="44" spans="2:16" ht="15" customHeight="1"/>
    <row r="45" spans="2:16" ht="15" customHeight="1"/>
    <row r="46" spans="2:16" ht="15" customHeight="1"/>
    <row r="51" ht="15" customHeight="1"/>
  </sheetData>
  <mergeCells count="1">
    <mergeCell ref="L1:P1"/>
  </mergeCells>
  <phoneticPr fontId="0" type="noConversion"/>
  <pageMargins left="0" right="0.51181102362204722" top="0.39370078740157483" bottom="0.98425196850393704" header="0.27559055118110237" footer="0.51181102362204722"/>
  <pageSetup paperSize="9" scale="55" orientation="landscape" horizontalDpi="4294967293" r:id="rId1"/>
  <headerFooter alignWithMargins="0"/>
  <legacyDrawing r:id="rId2"/>
  <oleObjects>
    <oleObject progId="CorelDRAW.Graphic.11" shapeId="11265" r:id="rId3"/>
    <oleObject progId="CorelDRAW.Graphic.11" shapeId="11266" r:id="rId4"/>
    <oleObject progId="CorelDRAW.Graphic.11" shapeId="11267" r:id="rId5"/>
  </oleObjects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21">
    <tabColor rgb="FF00FF00"/>
  </sheetPr>
  <dimension ref="B1:P40"/>
  <sheetViews>
    <sheetView workbookViewId="0">
      <selection activeCell="M17" sqref="M17"/>
    </sheetView>
  </sheetViews>
  <sheetFormatPr defaultRowHeight="12.75"/>
  <cols>
    <col min="1" max="1" width="1.5703125" customWidth="1"/>
    <col min="2" max="2" width="10.42578125" style="19" customWidth="1"/>
    <col min="3" max="3" width="1.42578125" customWidth="1"/>
    <col min="5" max="5" width="9.28515625" customWidth="1"/>
    <col min="6" max="6" width="10.85546875" style="21" customWidth="1"/>
    <col min="7" max="7" width="10.28515625" style="21" customWidth="1"/>
    <col min="8" max="8" width="15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1002</v>
      </c>
      <c r="G1" s="36" t="s">
        <v>977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308" t="s">
        <v>207</v>
      </c>
      <c r="G2" s="18" t="s">
        <v>53</v>
      </c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1003</v>
      </c>
      <c r="G3" s="18" t="s">
        <v>61</v>
      </c>
      <c r="H3" s="565" t="s">
        <v>1004</v>
      </c>
      <c r="L3" s="92">
        <f>F15</f>
        <v>500000</v>
      </c>
      <c r="M3" s="156">
        <f>F16</f>
        <v>50000</v>
      </c>
      <c r="N3" s="92"/>
      <c r="O3" s="92"/>
    </row>
    <row r="4" spans="2:16">
      <c r="D4" t="s">
        <v>52</v>
      </c>
      <c r="G4" s="307" t="s">
        <v>1000</v>
      </c>
      <c r="M4" s="156">
        <f>F17</f>
        <v>50000</v>
      </c>
      <c r="N4" s="92"/>
      <c r="O4" s="92"/>
    </row>
    <row r="5" spans="2:16">
      <c r="G5" s="18"/>
      <c r="M5" s="156">
        <f>F18</f>
        <v>50000</v>
      </c>
      <c r="O5" s="161"/>
    </row>
    <row r="6" spans="2:16">
      <c r="G6" s="307" t="s">
        <v>962</v>
      </c>
      <c r="M6" s="156">
        <f>F19</f>
        <v>100000</v>
      </c>
      <c r="O6" s="161"/>
    </row>
    <row r="7" spans="2:16">
      <c r="G7" s="18" t="s">
        <v>55</v>
      </c>
      <c r="M7" s="156">
        <v>200000</v>
      </c>
      <c r="O7" s="161"/>
    </row>
    <row r="8" spans="2:16">
      <c r="G8" s="18"/>
      <c r="M8" s="156">
        <v>50000</v>
      </c>
    </row>
    <row r="9" spans="2:16">
      <c r="M9" s="156">
        <v>50000</v>
      </c>
    </row>
    <row r="10" spans="2:16">
      <c r="M10" s="156">
        <v>100000</v>
      </c>
    </row>
    <row r="11" spans="2:16">
      <c r="G11" s="18" t="s">
        <v>56</v>
      </c>
      <c r="M11" s="156">
        <v>100000</v>
      </c>
    </row>
    <row r="12" spans="2:16">
      <c r="M12" s="156">
        <v>100000</v>
      </c>
    </row>
    <row r="13" spans="2:16">
      <c r="M13" s="156">
        <v>100000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50000</v>
      </c>
    </row>
    <row r="15" spans="2:16" ht="15" customHeight="1">
      <c r="B15" s="19">
        <v>43588</v>
      </c>
      <c r="D15" t="s">
        <v>59</v>
      </c>
      <c r="F15" s="21">
        <v>500000</v>
      </c>
      <c r="G15" s="22"/>
      <c r="H15" s="21">
        <f>F15-G15</f>
        <v>500000</v>
      </c>
      <c r="M15" s="156">
        <v>100000</v>
      </c>
    </row>
    <row r="16" spans="2:16" ht="15" customHeight="1">
      <c r="B16" s="336">
        <v>43588</v>
      </c>
      <c r="D16" t="s">
        <v>102</v>
      </c>
      <c r="F16" s="21">
        <v>50000</v>
      </c>
      <c r="H16" s="21">
        <f t="shared" ref="H16:H29" si="0">H15+F16-G16</f>
        <v>550000</v>
      </c>
      <c r="M16" s="156">
        <v>50000</v>
      </c>
    </row>
    <row r="17" spans="2:8" ht="15" customHeight="1">
      <c r="B17" s="19">
        <v>43572</v>
      </c>
      <c r="D17" t="s">
        <v>917</v>
      </c>
      <c r="F17" s="21">
        <v>50000</v>
      </c>
      <c r="H17" s="21">
        <f t="shared" si="0"/>
        <v>600000</v>
      </c>
    </row>
    <row r="18" spans="2:8" ht="15" customHeight="1">
      <c r="B18" s="19">
        <v>43605</v>
      </c>
      <c r="D18" t="s">
        <v>917</v>
      </c>
      <c r="F18" s="21">
        <v>50000</v>
      </c>
      <c r="H18" s="21">
        <f t="shared" si="0"/>
        <v>650000</v>
      </c>
    </row>
    <row r="19" spans="2:8" ht="15" customHeight="1">
      <c r="B19" s="19">
        <v>43648</v>
      </c>
      <c r="D19" t="s">
        <v>917</v>
      </c>
      <c r="F19" s="21">
        <v>100000</v>
      </c>
      <c r="H19" s="21">
        <f t="shared" si="0"/>
        <v>750000</v>
      </c>
    </row>
    <row r="20" spans="2:8" ht="15" customHeight="1">
      <c r="B20" s="19">
        <v>43747</v>
      </c>
      <c r="D20" t="s">
        <v>917</v>
      </c>
      <c r="F20" s="21">
        <v>200000</v>
      </c>
      <c r="H20" s="21">
        <f t="shared" si="0"/>
        <v>950000</v>
      </c>
    </row>
    <row r="21" spans="2:8" ht="15" customHeight="1">
      <c r="B21" s="19">
        <v>43778</v>
      </c>
      <c r="D21" t="s">
        <v>917</v>
      </c>
      <c r="F21" s="21">
        <v>50000</v>
      </c>
      <c r="H21" s="21">
        <f t="shared" si="0"/>
        <v>1000000</v>
      </c>
    </row>
    <row r="22" spans="2:8" ht="15" customHeight="1">
      <c r="B22" s="19">
        <v>43824</v>
      </c>
      <c r="D22" t="s">
        <v>917</v>
      </c>
      <c r="F22" s="21">
        <v>50000</v>
      </c>
      <c r="H22" s="21">
        <f t="shared" si="0"/>
        <v>1050000</v>
      </c>
    </row>
    <row r="23" spans="2:8" ht="15" customHeight="1">
      <c r="B23" s="336">
        <v>43866</v>
      </c>
      <c r="D23" t="s">
        <v>917</v>
      </c>
      <c r="F23" s="21">
        <v>100000</v>
      </c>
      <c r="H23" s="21">
        <f t="shared" si="0"/>
        <v>1150000</v>
      </c>
    </row>
    <row r="24" spans="2:8" ht="15" customHeight="1">
      <c r="B24" s="554">
        <v>43922</v>
      </c>
      <c r="D24" t="s">
        <v>917</v>
      </c>
      <c r="F24" s="21">
        <v>100000</v>
      </c>
      <c r="H24" s="21">
        <f t="shared" si="0"/>
        <v>1250000</v>
      </c>
    </row>
    <row r="25" spans="2:8" ht="15" customHeight="1">
      <c r="B25" s="336">
        <v>43989</v>
      </c>
      <c r="D25" t="s">
        <v>917</v>
      </c>
      <c r="F25" s="21">
        <v>100000</v>
      </c>
      <c r="H25" s="21">
        <f t="shared" si="0"/>
        <v>1350000</v>
      </c>
    </row>
    <row r="26" spans="2:8" ht="15" customHeight="1">
      <c r="B26" s="336">
        <v>44017</v>
      </c>
      <c r="D26" t="s">
        <v>917</v>
      </c>
      <c r="F26" s="21">
        <v>100000</v>
      </c>
      <c r="H26" s="21">
        <f t="shared" si="0"/>
        <v>1450000</v>
      </c>
    </row>
    <row r="27" spans="2:8" ht="15" customHeight="1">
      <c r="B27" s="336">
        <v>44054</v>
      </c>
      <c r="D27" t="s">
        <v>917</v>
      </c>
      <c r="F27" s="21">
        <v>50000</v>
      </c>
      <c r="H27" s="21">
        <f t="shared" si="0"/>
        <v>1500000</v>
      </c>
    </row>
    <row r="28" spans="2:8" ht="15" customHeight="1">
      <c r="B28" s="336">
        <v>44111</v>
      </c>
      <c r="D28" t="s">
        <v>917</v>
      </c>
      <c r="F28" s="21">
        <v>100000</v>
      </c>
      <c r="H28" s="21">
        <f t="shared" si="0"/>
        <v>1600000</v>
      </c>
    </row>
    <row r="29" spans="2:8" ht="15" customHeight="1">
      <c r="B29" s="336">
        <v>44138</v>
      </c>
      <c r="D29" t="s">
        <v>917</v>
      </c>
      <c r="F29" s="21">
        <v>50000</v>
      </c>
      <c r="H29" s="21">
        <f t="shared" si="0"/>
        <v>1650000</v>
      </c>
    </row>
    <row r="30" spans="2:8" ht="15" customHeight="1">
      <c r="B30" s="336"/>
    </row>
    <row r="31" spans="2:8" ht="15" customHeight="1">
      <c r="D31" s="55"/>
    </row>
    <row r="32" spans="2:8" ht="15" customHeight="1"/>
    <row r="33" spans="2:16" ht="15" customHeight="1">
      <c r="B33" s="336"/>
    </row>
    <row r="34" spans="2:16" ht="15" customHeight="1">
      <c r="B34" s="336"/>
    </row>
    <row r="35" spans="2:16" ht="15" customHeight="1">
      <c r="B35" s="336"/>
    </row>
    <row r="36" spans="2:16" ht="15" customHeight="1"/>
    <row r="39" spans="2:16" ht="15" customHeight="1">
      <c r="D39" s="76" t="s">
        <v>307</v>
      </c>
      <c r="E39" s="48"/>
      <c r="F39" s="53">
        <f>SUM(F15:F38)</f>
        <v>1650000</v>
      </c>
      <c r="G39" s="53">
        <f>SUM(G15:G38)</f>
        <v>0</v>
      </c>
      <c r="H39" s="77">
        <f>F39-G39</f>
        <v>1650000</v>
      </c>
      <c r="L39" s="92">
        <f>SUM(L3:L11)</f>
        <v>500000</v>
      </c>
      <c r="M39" s="156">
        <f>SUM(M3:M38)</f>
        <v>1150000</v>
      </c>
      <c r="N39" s="92">
        <f>SUM(N3:N11)</f>
        <v>0</v>
      </c>
      <c r="O39" s="92">
        <f>SUM(O3:O11)</f>
        <v>0</v>
      </c>
      <c r="P39" s="92">
        <f>SUM(P3:P11)</f>
        <v>0</v>
      </c>
    </row>
    <row r="40" spans="2:16">
      <c r="P40" s="92">
        <f>SUM(L39:P39)</f>
        <v>1650000</v>
      </c>
    </row>
  </sheetData>
  <mergeCells count="1">
    <mergeCell ref="L1:P1"/>
  </mergeCells>
  <phoneticPr fontId="7" type="noConversion"/>
  <pageMargins left="0.19685039370078741" right="0.74803149606299213" top="0.59055118110236227" bottom="0.98425196850393704" header="0.35433070866141736" footer="0.51181102362204722"/>
  <pageSetup scale="90" orientation="landscape" horizontalDpi="4294967293" verticalDpi="0" r:id="rId1"/>
  <headerFooter alignWithMargins="0"/>
  <legacyDrawing r:id="rId2"/>
  <oleObjects>
    <oleObject progId="CorelDRAW.Graphic.11" shapeId="25601" r:id="rId3"/>
    <oleObject progId="CorelDRAW.Graphic.11" shapeId="25602" r:id="rId4"/>
  </oleObjects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B1:P60"/>
  <sheetViews>
    <sheetView topLeftCell="A13" workbookViewId="0">
      <selection activeCell="D3" sqref="D3"/>
    </sheetView>
  </sheetViews>
  <sheetFormatPr defaultRowHeight="12.75"/>
  <cols>
    <col min="1" max="1" width="0.140625" customWidth="1"/>
    <col min="2" max="2" width="11.28515625" style="19" customWidth="1"/>
    <col min="3" max="3" width="2.28515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1006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308" t="s">
        <v>208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500</v>
      </c>
      <c r="P2" s="91" t="s">
        <v>341</v>
      </c>
    </row>
    <row r="3" spans="2:16">
      <c r="B3" s="19" t="s">
        <v>11</v>
      </c>
      <c r="C3" t="s">
        <v>3</v>
      </c>
      <c r="D3" s="55" t="s">
        <v>1007</v>
      </c>
      <c r="G3" s="18" t="s">
        <v>61</v>
      </c>
      <c r="H3" s="311" t="s">
        <v>1008</v>
      </c>
      <c r="L3" s="92">
        <v>500000</v>
      </c>
      <c r="M3" s="92">
        <v>50000</v>
      </c>
      <c r="N3" s="92"/>
      <c r="O3" s="92"/>
      <c r="P3" s="92"/>
    </row>
    <row r="4" spans="2:16">
      <c r="D4" s="55" t="s">
        <v>52</v>
      </c>
      <c r="G4" s="307" t="s">
        <v>1009</v>
      </c>
      <c r="L4" s="92"/>
      <c r="M4" s="92"/>
      <c r="N4" s="92"/>
      <c r="O4" s="92"/>
    </row>
    <row r="5" spans="2:16">
      <c r="G5" s="18"/>
      <c r="M5" s="92"/>
    </row>
    <row r="6" spans="2:16">
      <c r="G6" s="307" t="s">
        <v>962</v>
      </c>
      <c r="M6" s="92"/>
    </row>
    <row r="7" spans="2:16">
      <c r="G7" s="24" t="s">
        <v>55</v>
      </c>
      <c r="M7" s="92"/>
    </row>
    <row r="8" spans="2:16">
      <c r="G8" s="18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43536</v>
      </c>
      <c r="D15" s="55" t="s">
        <v>932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43536</v>
      </c>
      <c r="D16" s="55" t="s">
        <v>917</v>
      </c>
      <c r="F16" s="21">
        <v>50000</v>
      </c>
      <c r="H16" s="21">
        <f>H15+F16-G16</f>
        <v>550000</v>
      </c>
    </row>
    <row r="17" spans="8:8" ht="15" customHeight="1">
      <c r="H17" s="21">
        <f>H16+F17-G17</f>
        <v>550000</v>
      </c>
    </row>
    <row r="18" spans="8:8" ht="15" customHeight="1">
      <c r="H18" s="21">
        <f>H17+F18-G18</f>
        <v>550000</v>
      </c>
    </row>
    <row r="19" spans="8:8" ht="15" customHeight="1">
      <c r="H19" s="21">
        <f>H18+F19-G19</f>
        <v>550000</v>
      </c>
    </row>
    <row r="20" spans="8:8" ht="15" customHeight="1"/>
    <row r="21" spans="8:8" ht="15" customHeight="1"/>
    <row r="22" spans="8:8" ht="15" customHeight="1"/>
    <row r="23" spans="8:8" ht="15" customHeight="1"/>
    <row r="24" spans="8:8" ht="15" customHeight="1"/>
    <row r="25" spans="8:8" ht="15" customHeight="1"/>
    <row r="26" spans="8:8" ht="15" customHeight="1"/>
    <row r="27" spans="8:8" ht="15" customHeight="1"/>
    <row r="28" spans="8:8" ht="15" customHeight="1"/>
    <row r="29" spans="8:8" ht="15" customHeight="1"/>
    <row r="30" spans="8:8" ht="15" customHeight="1"/>
    <row r="31" spans="8:8" ht="15" customHeight="1"/>
    <row r="32" spans="8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4:16" ht="15" customHeight="1"/>
    <row r="50" spans="4:16" ht="15" customHeight="1">
      <c r="D50" s="76" t="s">
        <v>307</v>
      </c>
      <c r="E50" s="48"/>
      <c r="F50" s="53">
        <f>SUM(F15:F49)</f>
        <v>550000</v>
      </c>
      <c r="G50" s="53">
        <f>SUM(G15:G49)</f>
        <v>0</v>
      </c>
      <c r="H50" s="77">
        <f>F50-G50</f>
        <v>550000</v>
      </c>
      <c r="L50" s="92">
        <f>SUM(L3:L11)</f>
        <v>500000</v>
      </c>
      <c r="M50" s="92">
        <f>SUM(M3:M11)</f>
        <v>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 ht="15" customHeight="1">
      <c r="P51" s="92">
        <f>SUM(L50:P50)</f>
        <v>550000</v>
      </c>
    </row>
    <row r="52" spans="4:16" ht="15" customHeight="1"/>
    <row r="53" spans="4:16" ht="15" customHeight="1"/>
    <row r="54" spans="4:16" ht="15" customHeight="1"/>
    <row r="55" spans="4:16" ht="15" customHeight="1"/>
    <row r="56" spans="4:16" ht="15" customHeight="1"/>
    <row r="57" spans="4:16" ht="15" customHeight="1"/>
    <row r="58" spans="4:16" ht="15" customHeight="1"/>
    <row r="59" spans="4:16" ht="15" customHeight="1"/>
    <row r="60" spans="4:16" ht="15" customHeight="1"/>
  </sheetData>
  <mergeCells count="1">
    <mergeCell ref="L1:P1"/>
  </mergeCells>
  <phoneticPr fontId="0" type="noConversion"/>
  <pageMargins left="0.25" right="0.25" top="0.43" bottom="0.47" header="0.24" footer="0.26"/>
  <pageSetup paperSize="5" scale="90" orientation="landscape" horizontalDpi="4294967293" r:id="rId1"/>
  <headerFooter alignWithMargins="0"/>
  <legacyDrawing r:id="rId2"/>
  <oleObjects>
    <oleObject progId="CorelDRAW.Graphic.11" shapeId="7169" r:id="rId3"/>
  </oleObjects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10">
    <tabColor rgb="FF00FF00"/>
  </sheetPr>
  <dimension ref="B1:P60"/>
  <sheetViews>
    <sheetView workbookViewId="0">
      <selection activeCell="M12" sqref="M12"/>
    </sheetView>
  </sheetViews>
  <sheetFormatPr defaultRowHeight="12.75"/>
  <cols>
    <col min="1" max="1" width="0.140625" customWidth="1"/>
    <col min="2" max="2" width="11.28515625" style="554" customWidth="1"/>
    <col min="3" max="3" width="2.28515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1010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209</v>
      </c>
      <c r="G2" s="18" t="s">
        <v>53</v>
      </c>
      <c r="L2" s="91" t="s">
        <v>338</v>
      </c>
      <c r="M2" s="155" t="s">
        <v>339</v>
      </c>
      <c r="N2" s="91" t="s">
        <v>340</v>
      </c>
      <c r="O2" s="91" t="s">
        <v>500</v>
      </c>
      <c r="P2" s="91" t="s">
        <v>341</v>
      </c>
    </row>
    <row r="3" spans="2:16">
      <c r="B3" s="554" t="s">
        <v>11</v>
      </c>
      <c r="C3" t="s">
        <v>3</v>
      </c>
      <c r="D3" s="55" t="s">
        <v>1011</v>
      </c>
      <c r="G3" s="18" t="s">
        <v>61</v>
      </c>
      <c r="H3" s="311" t="s">
        <v>1012</v>
      </c>
      <c r="L3" s="92">
        <v>500000</v>
      </c>
      <c r="M3" s="156">
        <v>50000</v>
      </c>
      <c r="N3" s="92"/>
      <c r="O3" s="92"/>
      <c r="P3" s="92"/>
    </row>
    <row r="4" spans="2:16">
      <c r="D4" s="55" t="s">
        <v>52</v>
      </c>
      <c r="G4" s="307" t="s">
        <v>1013</v>
      </c>
      <c r="L4" s="92"/>
      <c r="M4" s="156">
        <v>50000</v>
      </c>
      <c r="N4" s="92"/>
      <c r="O4" s="92"/>
    </row>
    <row r="5" spans="2:16">
      <c r="G5" s="18"/>
      <c r="M5" s="156">
        <v>100000</v>
      </c>
    </row>
    <row r="6" spans="2:16">
      <c r="G6" s="307" t="s">
        <v>962</v>
      </c>
      <c r="M6" s="156">
        <v>100000</v>
      </c>
    </row>
    <row r="7" spans="2:16">
      <c r="G7" s="24" t="s">
        <v>55</v>
      </c>
      <c r="M7" s="156">
        <v>50000</v>
      </c>
    </row>
    <row r="8" spans="2:16">
      <c r="G8" s="18"/>
      <c r="M8" s="156">
        <v>250000</v>
      </c>
    </row>
    <row r="9" spans="2:16">
      <c r="M9" s="156">
        <v>100000</v>
      </c>
    </row>
    <row r="10" spans="2:16">
      <c r="M10" s="156">
        <v>200000</v>
      </c>
    </row>
    <row r="11" spans="2:16">
      <c r="G11" s="18" t="s">
        <v>56</v>
      </c>
      <c r="M11" s="156">
        <v>100000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43536</v>
      </c>
      <c r="D15" s="55" t="s">
        <v>932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43536</v>
      </c>
      <c r="D16" s="55" t="s">
        <v>917</v>
      </c>
      <c r="F16" s="21">
        <v>50000</v>
      </c>
      <c r="H16" s="21">
        <f>H15+F16-G16</f>
        <v>550000</v>
      </c>
    </row>
    <row r="17" spans="2:8" ht="15" customHeight="1">
      <c r="B17" s="554">
        <v>43571</v>
      </c>
      <c r="D17" s="55" t="s">
        <v>917</v>
      </c>
      <c r="F17" s="21">
        <v>50000</v>
      </c>
      <c r="H17" s="21">
        <f>H16+F17-G17</f>
        <v>600000</v>
      </c>
    </row>
    <row r="18" spans="2:8" ht="15" customHeight="1">
      <c r="B18" s="554">
        <v>43605</v>
      </c>
      <c r="D18" s="55" t="s">
        <v>917</v>
      </c>
      <c r="F18" s="21">
        <v>100000</v>
      </c>
      <c r="H18" s="21">
        <f>H17+F18-G18</f>
        <v>700000</v>
      </c>
    </row>
    <row r="19" spans="2:8" ht="15" customHeight="1">
      <c r="B19" s="554">
        <v>43648</v>
      </c>
      <c r="D19" s="55" t="s">
        <v>917</v>
      </c>
      <c r="F19" s="21">
        <v>100000</v>
      </c>
      <c r="H19" s="21">
        <f>H18+F19-G19</f>
        <v>800000</v>
      </c>
    </row>
    <row r="20" spans="2:8" ht="15" customHeight="1">
      <c r="B20" s="554">
        <v>43703</v>
      </c>
      <c r="D20" s="55" t="s">
        <v>917</v>
      </c>
      <c r="F20" s="21">
        <v>50000</v>
      </c>
      <c r="H20" s="21">
        <f t="shared" ref="H20:H24" si="0">H19+F20-G20</f>
        <v>850000</v>
      </c>
    </row>
    <row r="21" spans="2:8" ht="15" customHeight="1">
      <c r="B21" s="554">
        <v>43840</v>
      </c>
      <c r="D21" s="55" t="s">
        <v>917</v>
      </c>
      <c r="F21" s="21">
        <v>250000</v>
      </c>
      <c r="H21" s="21">
        <f t="shared" si="0"/>
        <v>1100000</v>
      </c>
    </row>
    <row r="22" spans="2:8" ht="15" customHeight="1">
      <c r="B22" s="554">
        <v>43925</v>
      </c>
      <c r="D22" s="55" t="s">
        <v>917</v>
      </c>
      <c r="F22" s="21">
        <v>100000</v>
      </c>
      <c r="H22" s="21">
        <f t="shared" si="0"/>
        <v>1200000</v>
      </c>
    </row>
    <row r="23" spans="2:8" ht="15" customHeight="1">
      <c r="B23" s="554">
        <v>44045</v>
      </c>
      <c r="D23" s="55" t="s">
        <v>917</v>
      </c>
      <c r="F23" s="21">
        <v>200000</v>
      </c>
      <c r="H23" s="21">
        <f t="shared" si="0"/>
        <v>1400000</v>
      </c>
    </row>
    <row r="24" spans="2:8" ht="15" customHeight="1">
      <c r="B24" s="554">
        <v>44104</v>
      </c>
      <c r="D24" s="55" t="s">
        <v>917</v>
      </c>
      <c r="F24" s="21">
        <v>100000</v>
      </c>
      <c r="H24" s="21">
        <f t="shared" si="0"/>
        <v>1500000</v>
      </c>
    </row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/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spans="4:16" ht="15" customHeight="1"/>
    <row r="50" spans="4:16" ht="15" customHeight="1">
      <c r="D50" s="76" t="s">
        <v>307</v>
      </c>
      <c r="E50" s="48"/>
      <c r="F50" s="53">
        <f>SUM(F15:F49)</f>
        <v>1500000</v>
      </c>
      <c r="G50" s="53">
        <f>SUM(G15:G49)</f>
        <v>0</v>
      </c>
      <c r="H50" s="77">
        <f>F50-G50</f>
        <v>1500000</v>
      </c>
      <c r="L50" s="92">
        <f>SUM(L3:L11)</f>
        <v>500000</v>
      </c>
      <c r="M50" s="156">
        <f>SUM(M3:M11)</f>
        <v>1000000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 ht="15" customHeight="1">
      <c r="P51" s="92">
        <f>SUM(L50:P50)</f>
        <v>1500000</v>
      </c>
    </row>
    <row r="52" spans="4:16" ht="15" customHeight="1"/>
    <row r="53" spans="4:16" ht="15" customHeight="1"/>
    <row r="54" spans="4:16" ht="15" customHeight="1"/>
    <row r="55" spans="4:16" ht="15" customHeight="1"/>
    <row r="56" spans="4:16" ht="15" customHeight="1"/>
    <row r="57" spans="4:16" ht="15" customHeight="1"/>
    <row r="58" spans="4:16" ht="15" customHeight="1"/>
    <row r="59" spans="4:16" ht="15" customHeight="1"/>
    <row r="60" spans="4:16" ht="15" customHeight="1"/>
  </sheetData>
  <mergeCells count="1">
    <mergeCell ref="L1:P1"/>
  </mergeCells>
  <phoneticPr fontId="0" type="noConversion"/>
  <pageMargins left="0.28000000000000003" right="0.5" top="0.5" bottom="1" header="0.24" footer="0.5"/>
  <pageSetup paperSize="9" scale="90" orientation="landscape" horizontalDpi="4294967293" r:id="rId1"/>
  <headerFooter alignWithMargins="0"/>
  <legacyDrawing r:id="rId2"/>
  <oleObjects>
    <oleObject progId="CorelDRAW.Graphic.11" shapeId="13313" r:id="rId3"/>
    <oleObject progId="CorelDRAW.Graphic.11" shapeId="13314" r:id="rId4"/>
    <oleObject progId="CorelDRAW.Graphic.11" shapeId="13315" r:id="rId5"/>
  </oleObjects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13">
    <tabColor rgb="FF00FF00"/>
  </sheetPr>
  <dimension ref="B1:P51"/>
  <sheetViews>
    <sheetView topLeftCell="A16" workbookViewId="0">
      <selection activeCell="C26" sqref="C26"/>
    </sheetView>
  </sheetViews>
  <sheetFormatPr defaultRowHeight="12.75"/>
  <cols>
    <col min="1" max="1" width="1.42578125" style="93" customWidth="1"/>
    <col min="2" max="2" width="10.42578125" style="98" customWidth="1"/>
    <col min="3" max="3" width="1.140625" style="93" customWidth="1"/>
    <col min="4" max="4" width="9.140625" style="93"/>
    <col min="5" max="5" width="6.7109375" style="93" customWidth="1"/>
    <col min="6" max="6" width="12" style="99" customWidth="1"/>
    <col min="7" max="7" width="13.7109375" style="99" customWidth="1"/>
    <col min="8" max="8" width="19" style="99" customWidth="1"/>
    <col min="9" max="9" width="5" style="93" customWidth="1"/>
    <col min="10" max="11" width="9.140625" style="93"/>
    <col min="12" max="15" width="14.140625" style="93" customWidth="1"/>
    <col min="16" max="16" width="17.140625" style="93" customWidth="1"/>
    <col min="17" max="16384" width="9.140625" style="93"/>
  </cols>
  <sheetData>
    <row r="1" spans="2:16">
      <c r="B1" s="98" t="s">
        <v>49</v>
      </c>
      <c r="C1" s="93" t="s">
        <v>3</v>
      </c>
      <c r="D1" s="26" t="s">
        <v>1016</v>
      </c>
      <c r="E1" s="57"/>
      <c r="F1" s="58"/>
      <c r="G1" s="307" t="s">
        <v>1022</v>
      </c>
      <c r="H1" s="58"/>
      <c r="I1" s="57"/>
      <c r="J1" s="57"/>
      <c r="K1" s="57"/>
      <c r="L1" s="682" t="s">
        <v>337</v>
      </c>
      <c r="M1" s="682"/>
      <c r="N1" s="682"/>
      <c r="O1" s="682"/>
      <c r="P1" s="682"/>
    </row>
    <row r="2" spans="2:16">
      <c r="B2" s="98" t="s">
        <v>50</v>
      </c>
      <c r="C2" s="93" t="s">
        <v>3</v>
      </c>
      <c r="D2" s="308" t="s">
        <v>1017</v>
      </c>
      <c r="G2" s="89" t="s">
        <v>53</v>
      </c>
      <c r="L2" s="100" t="s">
        <v>338</v>
      </c>
      <c r="M2" s="100" t="s">
        <v>339</v>
      </c>
      <c r="N2" s="100" t="s">
        <v>340</v>
      </c>
      <c r="O2" s="163" t="s">
        <v>393</v>
      </c>
      <c r="P2" s="100" t="s">
        <v>341</v>
      </c>
    </row>
    <row r="3" spans="2:16">
      <c r="B3" s="98" t="s">
        <v>11</v>
      </c>
      <c r="C3" s="93" t="s">
        <v>3</v>
      </c>
      <c r="D3" s="55" t="s">
        <v>1018</v>
      </c>
      <c r="G3" s="89" t="s">
        <v>61</v>
      </c>
      <c r="H3" s="311" t="s">
        <v>1023</v>
      </c>
      <c r="L3" s="101">
        <f>F15</f>
        <v>500000</v>
      </c>
      <c r="M3" s="101">
        <f>F16</f>
        <v>50000</v>
      </c>
      <c r="O3" s="21"/>
      <c r="P3" s="101"/>
    </row>
    <row r="4" spans="2:16">
      <c r="D4" s="55" t="s">
        <v>1019</v>
      </c>
      <c r="G4" s="307" t="s">
        <v>1020</v>
      </c>
      <c r="M4" s="101">
        <v>50000</v>
      </c>
      <c r="O4" s="162"/>
    </row>
    <row r="5" spans="2:16">
      <c r="G5" s="89"/>
      <c r="M5" s="101">
        <v>50000</v>
      </c>
    </row>
    <row r="6" spans="2:16">
      <c r="G6" s="307" t="s">
        <v>1021</v>
      </c>
      <c r="M6" s="101">
        <v>50000</v>
      </c>
    </row>
    <row r="7" spans="2:16" s="57" customFormat="1">
      <c r="B7" s="98"/>
      <c r="C7" s="93"/>
      <c r="D7" s="93"/>
      <c r="E7" s="93"/>
      <c r="F7" s="99"/>
      <c r="G7" s="24" t="s">
        <v>976</v>
      </c>
      <c r="H7" s="58"/>
      <c r="M7" s="96">
        <v>50000</v>
      </c>
    </row>
    <row r="8" spans="2:16" s="57" customFormat="1">
      <c r="B8" s="60"/>
      <c r="F8" s="58"/>
      <c r="G8" s="59"/>
      <c r="H8" s="58"/>
      <c r="M8" s="96">
        <v>50000</v>
      </c>
    </row>
    <row r="9" spans="2:16" s="57" customFormat="1">
      <c r="B9" s="60"/>
      <c r="F9" s="58"/>
      <c r="G9" s="58"/>
      <c r="H9" s="58"/>
      <c r="M9" s="96">
        <v>50000</v>
      </c>
    </row>
    <row r="10" spans="2:16" s="57" customFormat="1">
      <c r="B10" s="60"/>
      <c r="F10" s="58"/>
      <c r="G10" s="58"/>
      <c r="H10" s="58"/>
      <c r="M10" s="96">
        <v>50000</v>
      </c>
    </row>
    <row r="11" spans="2:16" s="57" customFormat="1">
      <c r="B11" s="60"/>
      <c r="F11" s="58"/>
      <c r="G11" s="59" t="s">
        <v>56</v>
      </c>
      <c r="H11" s="58"/>
      <c r="M11" s="96">
        <v>50000</v>
      </c>
    </row>
    <row r="12" spans="2:16" s="57" customFormat="1">
      <c r="B12" s="60"/>
      <c r="F12" s="58"/>
      <c r="G12" s="58"/>
      <c r="H12" s="58"/>
      <c r="M12" s="96">
        <v>50000</v>
      </c>
    </row>
    <row r="13" spans="2:16" s="57" customFormat="1">
      <c r="B13" s="60"/>
      <c r="F13" s="58"/>
      <c r="G13" s="58"/>
      <c r="H13" s="58"/>
      <c r="M13" s="96">
        <v>50000</v>
      </c>
    </row>
    <row r="14" spans="2:16" s="57" customFormat="1">
      <c r="B14" s="60" t="s">
        <v>57</v>
      </c>
      <c r="D14" s="57" t="s">
        <v>58</v>
      </c>
      <c r="F14" s="63" t="s">
        <v>87</v>
      </c>
      <c r="G14" s="63" t="s">
        <v>88</v>
      </c>
      <c r="H14" s="63" t="s">
        <v>89</v>
      </c>
      <c r="M14" s="96"/>
    </row>
    <row r="15" spans="2:16" s="57" customFormat="1" ht="15" customHeight="1">
      <c r="B15" s="60">
        <v>43566</v>
      </c>
      <c r="D15" s="55" t="s">
        <v>932</v>
      </c>
      <c r="F15" s="58">
        <v>500000</v>
      </c>
      <c r="G15" s="64"/>
      <c r="H15" s="58">
        <f>F15-G15</f>
        <v>500000</v>
      </c>
      <c r="M15" s="96"/>
    </row>
    <row r="16" spans="2:16" s="57" customFormat="1" ht="15" customHeight="1">
      <c r="B16" s="60">
        <v>43566</v>
      </c>
      <c r="D16" s="55" t="s">
        <v>917</v>
      </c>
      <c r="F16" s="58">
        <v>50000</v>
      </c>
      <c r="G16" s="58"/>
      <c r="H16" s="58">
        <f t="shared" ref="H16:H26" si="0">H15+F16-G16</f>
        <v>550000</v>
      </c>
      <c r="M16" s="96"/>
    </row>
    <row r="17" spans="2:15" s="57" customFormat="1" ht="15" customHeight="1">
      <c r="B17" s="60">
        <v>43588</v>
      </c>
      <c r="D17" s="55" t="s">
        <v>917</v>
      </c>
      <c r="F17" s="58">
        <v>50000</v>
      </c>
      <c r="G17" s="58"/>
      <c r="H17" s="58">
        <f t="shared" si="0"/>
        <v>600000</v>
      </c>
      <c r="M17" s="96"/>
    </row>
    <row r="18" spans="2:15" s="57" customFormat="1" ht="15" customHeight="1">
      <c r="B18" s="60">
        <v>43628</v>
      </c>
      <c r="D18" s="55" t="s">
        <v>917</v>
      </c>
      <c r="F18" s="58">
        <v>50000</v>
      </c>
      <c r="G18" s="58"/>
      <c r="H18" s="58">
        <f t="shared" si="0"/>
        <v>650000</v>
      </c>
      <c r="M18" s="96"/>
    </row>
    <row r="19" spans="2:15" s="57" customFormat="1" ht="15" customHeight="1">
      <c r="B19" s="60">
        <v>43661</v>
      </c>
      <c r="D19" s="55" t="s">
        <v>917</v>
      </c>
      <c r="F19" s="58">
        <v>50000</v>
      </c>
      <c r="G19" s="58"/>
      <c r="H19" s="58">
        <f t="shared" si="0"/>
        <v>700000</v>
      </c>
      <c r="M19" s="96"/>
    </row>
    <row r="20" spans="2:15" s="57" customFormat="1" ht="15" customHeight="1">
      <c r="B20" s="60">
        <v>43680</v>
      </c>
      <c r="D20" s="55" t="s">
        <v>917</v>
      </c>
      <c r="F20" s="58">
        <v>50000</v>
      </c>
      <c r="G20" s="58"/>
      <c r="H20" s="58">
        <f t="shared" si="0"/>
        <v>750000</v>
      </c>
      <c r="M20" s="96"/>
    </row>
    <row r="21" spans="2:15" s="57" customFormat="1" ht="15" customHeight="1">
      <c r="B21" s="60">
        <v>43762</v>
      </c>
      <c r="D21" s="55" t="s">
        <v>917</v>
      </c>
      <c r="F21" s="58">
        <v>50000</v>
      </c>
      <c r="G21" s="58"/>
      <c r="H21" s="58">
        <f t="shared" si="0"/>
        <v>800000</v>
      </c>
      <c r="M21" s="96"/>
    </row>
    <row r="22" spans="2:15" s="57" customFormat="1" ht="15" customHeight="1">
      <c r="B22" s="60">
        <v>43778</v>
      </c>
      <c r="D22" s="55" t="s">
        <v>917</v>
      </c>
      <c r="F22" s="58">
        <v>50000</v>
      </c>
      <c r="G22" s="58"/>
      <c r="H22" s="58">
        <f t="shared" si="0"/>
        <v>850000</v>
      </c>
      <c r="M22" s="96"/>
    </row>
    <row r="23" spans="2:15" s="57" customFormat="1" ht="15" customHeight="1">
      <c r="B23" s="60">
        <v>43829</v>
      </c>
      <c r="D23" s="55" t="s">
        <v>917</v>
      </c>
      <c r="F23" s="58">
        <v>50000</v>
      </c>
      <c r="G23" s="58"/>
      <c r="H23" s="58">
        <f t="shared" si="0"/>
        <v>900000</v>
      </c>
      <c r="M23" s="96"/>
    </row>
    <row r="24" spans="2:15" s="57" customFormat="1" ht="15" customHeight="1">
      <c r="B24" s="60">
        <v>43866</v>
      </c>
      <c r="D24" s="55" t="s">
        <v>917</v>
      </c>
      <c r="F24" s="58">
        <v>50000</v>
      </c>
      <c r="G24" s="58"/>
      <c r="H24" s="58">
        <f t="shared" si="0"/>
        <v>950000</v>
      </c>
      <c r="M24" s="96"/>
    </row>
    <row r="25" spans="2:15" s="57" customFormat="1" ht="15" customHeight="1">
      <c r="B25" s="60">
        <v>43884</v>
      </c>
      <c r="D25" s="55" t="s">
        <v>917</v>
      </c>
      <c r="F25" s="58">
        <v>50000</v>
      </c>
      <c r="G25" s="58"/>
      <c r="H25" s="58">
        <f t="shared" si="0"/>
        <v>1000000</v>
      </c>
      <c r="M25" s="96"/>
    </row>
    <row r="26" spans="2:15" s="57" customFormat="1" ht="15" customHeight="1">
      <c r="B26" s="60">
        <v>43904</v>
      </c>
      <c r="D26" s="55" t="s">
        <v>917</v>
      </c>
      <c r="F26" s="58">
        <v>50000</v>
      </c>
      <c r="G26" s="58"/>
      <c r="H26" s="58">
        <f t="shared" si="0"/>
        <v>1050000</v>
      </c>
      <c r="M26" s="96"/>
    </row>
    <row r="27" spans="2:15" s="57" customFormat="1" ht="15" customHeight="1">
      <c r="B27" s="60"/>
      <c r="F27" s="58"/>
      <c r="G27" s="58"/>
      <c r="H27" s="58"/>
      <c r="M27" s="96"/>
    </row>
    <row r="28" spans="2:15" s="57" customFormat="1" ht="15" customHeight="1">
      <c r="B28" s="60"/>
      <c r="F28" s="58"/>
      <c r="G28" s="58"/>
      <c r="H28" s="58"/>
      <c r="K28" s="55"/>
      <c r="L28" s="96"/>
      <c r="M28" s="96"/>
      <c r="N28" s="96"/>
      <c r="O28" s="96"/>
    </row>
    <row r="29" spans="2:15" s="57" customFormat="1" ht="15" customHeight="1">
      <c r="B29" s="19"/>
      <c r="C29"/>
      <c r="D29"/>
      <c r="E29"/>
      <c r="F29" s="21"/>
      <c r="G29" s="58"/>
      <c r="H29" s="58"/>
      <c r="M29" s="96"/>
    </row>
    <row r="30" spans="2:15" s="57" customFormat="1" ht="15" customHeight="1">
      <c r="B30" s="19"/>
      <c r="F30" s="58"/>
      <c r="G30" s="58"/>
      <c r="H30" s="58"/>
    </row>
    <row r="31" spans="2:15" s="57" customFormat="1" ht="15" customHeight="1">
      <c r="B31" s="19"/>
      <c r="D31" s="93"/>
      <c r="F31" s="58"/>
      <c r="G31" s="58"/>
      <c r="H31" s="58"/>
    </row>
    <row r="32" spans="2:15" s="57" customFormat="1" ht="15" customHeight="1">
      <c r="B32" s="19"/>
      <c r="D32" s="93"/>
      <c r="F32" s="58"/>
      <c r="G32" s="58"/>
      <c r="H32" s="58"/>
      <c r="M32" s="96"/>
    </row>
    <row r="33" spans="2:13" s="57" customFormat="1" ht="15" customHeight="1">
      <c r="B33" s="19"/>
      <c r="D33" s="93"/>
      <c r="F33" s="58"/>
      <c r="G33" s="58"/>
      <c r="H33" s="58"/>
      <c r="M33" s="96"/>
    </row>
    <row r="34" spans="2:13" s="57" customFormat="1" ht="15" customHeight="1">
      <c r="B34" s="19"/>
      <c r="D34" s="55"/>
      <c r="F34" s="58"/>
      <c r="G34" s="58"/>
      <c r="H34" s="58"/>
      <c r="M34" s="96"/>
    </row>
    <row r="35" spans="2:13" s="57" customFormat="1" ht="15" customHeight="1">
      <c r="B35" s="60"/>
      <c r="F35" s="58"/>
      <c r="G35" s="58"/>
      <c r="H35" s="58"/>
      <c r="M35" s="96"/>
    </row>
    <row r="36" spans="2:13" s="57" customFormat="1" ht="15" customHeight="1">
      <c r="B36" s="19"/>
      <c r="C36"/>
      <c r="D36"/>
      <c r="E36"/>
      <c r="F36" s="58"/>
      <c r="G36" s="58"/>
      <c r="H36" s="58"/>
      <c r="M36" s="96"/>
    </row>
    <row r="37" spans="2:13" s="57" customFormat="1" ht="15" customHeight="1">
      <c r="B37" s="19"/>
      <c r="D37" s="55"/>
      <c r="F37" s="58"/>
      <c r="G37" s="58"/>
      <c r="H37" s="58"/>
      <c r="M37" s="96"/>
    </row>
    <row r="38" spans="2:13" s="57" customFormat="1" ht="15" customHeight="1">
      <c r="B38" s="19"/>
      <c r="D38" s="55"/>
      <c r="F38" s="58"/>
      <c r="G38" s="58"/>
      <c r="H38" s="58"/>
      <c r="M38" s="96"/>
    </row>
    <row r="39" spans="2:13" s="57" customFormat="1" ht="15" customHeight="1">
      <c r="B39" s="19"/>
      <c r="D39" s="55"/>
      <c r="F39" s="58"/>
      <c r="G39" s="58"/>
      <c r="H39" s="58"/>
      <c r="M39" s="96"/>
    </row>
    <row r="40" spans="2:13" s="57" customFormat="1" ht="15" customHeight="1">
      <c r="B40" s="19"/>
      <c r="D40" s="55"/>
      <c r="F40" s="58"/>
      <c r="G40" s="58"/>
      <c r="H40" s="58"/>
      <c r="M40" s="96"/>
    </row>
    <row r="41" spans="2:13" s="57" customFormat="1" ht="15" customHeight="1">
      <c r="B41" s="60"/>
      <c r="F41" s="58"/>
      <c r="G41" s="58"/>
      <c r="H41" s="58"/>
      <c r="M41" s="96"/>
    </row>
    <row r="42" spans="2:13" s="57" customFormat="1" ht="15" customHeight="1">
      <c r="B42" s="60"/>
      <c r="F42" s="58"/>
      <c r="G42" s="58"/>
      <c r="H42" s="58"/>
      <c r="M42" s="96"/>
    </row>
    <row r="43" spans="2:13" s="57" customFormat="1" ht="15" customHeight="1">
      <c r="B43" s="60"/>
      <c r="F43" s="58"/>
      <c r="G43" s="58"/>
      <c r="H43" s="58"/>
      <c r="M43" s="96"/>
    </row>
    <row r="44" spans="2:13" s="57" customFormat="1" ht="15" customHeight="1">
      <c r="B44" s="60"/>
      <c r="F44" s="58"/>
      <c r="G44" s="58"/>
      <c r="H44" s="58"/>
      <c r="M44" s="96"/>
    </row>
    <row r="45" spans="2:13" s="57" customFormat="1" ht="15" customHeight="1">
      <c r="B45" s="60"/>
      <c r="F45" s="58"/>
      <c r="G45" s="58"/>
      <c r="H45" s="58"/>
      <c r="M45" s="96"/>
    </row>
    <row r="46" spans="2:13" s="57" customFormat="1" ht="15" customHeight="1">
      <c r="B46" s="60"/>
      <c r="F46" s="58"/>
      <c r="G46" s="58"/>
      <c r="H46" s="58"/>
      <c r="M46" s="96"/>
    </row>
    <row r="47" spans="2:13" s="57" customFormat="1">
      <c r="B47" s="60"/>
      <c r="F47" s="58"/>
      <c r="G47" s="58"/>
      <c r="H47" s="58"/>
      <c r="M47" s="96"/>
    </row>
    <row r="48" spans="2:13" s="57" customFormat="1">
      <c r="B48" s="60"/>
      <c r="F48" s="58"/>
      <c r="G48" s="58"/>
      <c r="H48" s="58"/>
      <c r="M48" s="96"/>
    </row>
    <row r="49" spans="2:16" s="57" customFormat="1">
      <c r="B49" s="60"/>
      <c r="F49" s="58"/>
      <c r="G49" s="58"/>
      <c r="H49" s="58"/>
      <c r="M49" s="96"/>
    </row>
    <row r="50" spans="2:16" ht="15" customHeight="1">
      <c r="B50" s="60"/>
      <c r="C50" s="57"/>
      <c r="D50" s="76" t="s">
        <v>307</v>
      </c>
      <c r="E50" s="102"/>
      <c r="F50" s="99">
        <f>SUM(F15:F49)</f>
        <v>1050000</v>
      </c>
      <c r="G50" s="99">
        <f>SUM(G15:G49)</f>
        <v>0</v>
      </c>
      <c r="H50" s="103">
        <f>F50-G50</f>
        <v>1050000</v>
      </c>
      <c r="L50" s="96">
        <f>SUM(L3:L29)</f>
        <v>500000</v>
      </c>
      <c r="M50" s="96">
        <f>SUM(M3:M29)</f>
        <v>550000</v>
      </c>
      <c r="N50" s="96">
        <f>SUM(N3:N29)</f>
        <v>0</v>
      </c>
      <c r="O50" s="96">
        <f>SUM(O3:O29)</f>
        <v>0</v>
      </c>
      <c r="P50" s="96">
        <f>SUM(P3:P29)</f>
        <v>0</v>
      </c>
    </row>
    <row r="51" spans="2:16">
      <c r="L51" s="57"/>
      <c r="M51" s="96"/>
      <c r="N51" s="57"/>
      <c r="O51" s="57"/>
      <c r="P51" s="96">
        <f>SUM(L50+M50+N50+O50)-P50</f>
        <v>1050000</v>
      </c>
    </row>
  </sheetData>
  <mergeCells count="1">
    <mergeCell ref="L1:P1"/>
  </mergeCells>
  <phoneticPr fontId="7" type="noConversion"/>
  <pageMargins left="0" right="0.26" top="0.28999999999999998" bottom="0.5" header="0.15" footer="0.5"/>
  <pageSetup paperSize="9" scale="90" orientation="landscape" horizontalDpi="4294967294" r:id="rId1"/>
  <headerFooter alignWithMargins="0"/>
  <drawing r:id="rId2"/>
  <legacyDrawing r:id="rId3"/>
  <oleObjects>
    <oleObject progId="CorelDRAW.Graphic.11" shapeId="2049" r:id="rId4"/>
    <oleObject progId="CorelDRAW.Graphic.11" shapeId="2053" r:id="rId5"/>
    <oleObject progId="CorelDRAW.Graphic.11" shapeId="2067" r:id="rId6"/>
    <oleObject progId="CorelDRAW.Graphic.11" shapeId="2068" r:id="rId7"/>
  </oleObjects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20">
    <tabColor rgb="FF00FF00"/>
  </sheetPr>
  <dimension ref="B1:P51"/>
  <sheetViews>
    <sheetView topLeftCell="A16" workbookViewId="0">
      <selection activeCell="M51" sqref="M51"/>
    </sheetView>
  </sheetViews>
  <sheetFormatPr defaultRowHeight="12.75"/>
  <cols>
    <col min="1" max="1" width="1.28515625" customWidth="1"/>
    <col min="2" max="2" width="10" style="19" customWidth="1"/>
    <col min="3" max="3" width="1.140625" customWidth="1"/>
    <col min="5" max="5" width="11.42578125" customWidth="1"/>
    <col min="6" max="6" width="13.28515625" style="21" customWidth="1"/>
    <col min="7" max="7" width="12.28515625" style="21" customWidth="1"/>
    <col min="8" max="8" width="11.4257812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 s="38" customFormat="1">
      <c r="B1" s="39" t="s">
        <v>49</v>
      </c>
      <c r="C1" s="38" t="s">
        <v>3</v>
      </c>
      <c r="D1" s="55" t="s">
        <v>1124</v>
      </c>
      <c r="F1" s="40"/>
      <c r="G1" s="41" t="s">
        <v>1022</v>
      </c>
      <c r="H1" s="40"/>
      <c r="L1" s="679" t="s">
        <v>337</v>
      </c>
      <c r="M1" s="679"/>
      <c r="N1" s="679"/>
      <c r="O1" s="679"/>
      <c r="P1" s="679"/>
    </row>
    <row r="2" spans="2:16" s="38" customFormat="1">
      <c r="B2" s="39" t="s">
        <v>50</v>
      </c>
      <c r="C2" s="38" t="s">
        <v>3</v>
      </c>
      <c r="D2" s="42" t="s">
        <v>212</v>
      </c>
      <c r="F2" s="40"/>
      <c r="G2" s="43" t="s">
        <v>53</v>
      </c>
      <c r="H2" s="40"/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 s="38" customFormat="1">
      <c r="B3" s="39" t="s">
        <v>11</v>
      </c>
      <c r="C3" s="38" t="s">
        <v>3</v>
      </c>
      <c r="D3" s="55" t="s">
        <v>1024</v>
      </c>
      <c r="F3" s="40"/>
      <c r="G3" s="43" t="s">
        <v>61</v>
      </c>
      <c r="H3" s="292" t="s">
        <v>1025</v>
      </c>
      <c r="L3" s="92">
        <f>F15</f>
        <v>500000</v>
      </c>
      <c r="M3" s="92">
        <f>F16</f>
        <v>50000</v>
      </c>
      <c r="N3" s="92">
        <v>0</v>
      </c>
      <c r="O3" s="92">
        <f>F22</f>
        <v>0</v>
      </c>
      <c r="P3" s="92"/>
    </row>
    <row r="4" spans="2:16" s="38" customFormat="1">
      <c r="B4" s="39"/>
      <c r="D4" s="38" t="s">
        <v>931</v>
      </c>
      <c r="F4" s="40"/>
      <c r="G4" s="43" t="s">
        <v>1026</v>
      </c>
      <c r="H4" s="40"/>
      <c r="M4" s="92">
        <v>100000</v>
      </c>
      <c r="N4" s="92"/>
      <c r="O4" s="92"/>
      <c r="P4" s="30"/>
    </row>
    <row r="5" spans="2:16" s="38" customFormat="1">
      <c r="B5" s="39"/>
      <c r="F5" s="40"/>
      <c r="G5" s="43"/>
      <c r="H5" s="40"/>
      <c r="L5" s="30"/>
      <c r="M5" s="92">
        <v>200000</v>
      </c>
      <c r="N5" s="30"/>
      <c r="O5" s="30"/>
      <c r="P5" s="30"/>
    </row>
    <row r="6" spans="2:16" s="38" customFormat="1">
      <c r="B6" s="39"/>
      <c r="F6" s="40"/>
      <c r="G6" s="43" t="s">
        <v>54</v>
      </c>
      <c r="H6" s="40"/>
      <c r="L6" s="30"/>
      <c r="M6" s="92">
        <v>300000</v>
      </c>
      <c r="N6" s="30"/>
      <c r="O6" s="30"/>
      <c r="P6" s="30"/>
    </row>
    <row r="7" spans="2:16" s="38" customFormat="1">
      <c r="B7" s="39"/>
      <c r="F7" s="40"/>
      <c r="G7" s="44" t="s">
        <v>1027</v>
      </c>
      <c r="H7" s="40"/>
      <c r="L7" s="30"/>
      <c r="M7" s="92"/>
      <c r="N7" s="30"/>
      <c r="O7" s="30"/>
      <c r="P7" s="30"/>
    </row>
    <row r="8" spans="2:16" s="38" customFormat="1">
      <c r="B8" s="39"/>
      <c r="F8" s="40"/>
      <c r="G8" s="43"/>
      <c r="H8" s="40"/>
      <c r="L8" s="30"/>
      <c r="M8" s="92"/>
      <c r="N8" s="30"/>
      <c r="O8" s="30"/>
      <c r="P8" s="30"/>
    </row>
    <row r="9" spans="2:16" s="38" customFormat="1">
      <c r="B9" s="39"/>
      <c r="F9" s="40"/>
      <c r="G9" s="40"/>
      <c r="H9" s="40"/>
      <c r="L9" s="30"/>
      <c r="M9" s="30"/>
      <c r="N9" s="30"/>
      <c r="O9" s="30"/>
      <c r="P9" s="30"/>
    </row>
    <row r="10" spans="2:16" s="38" customFormat="1">
      <c r="B10" s="39"/>
      <c r="F10" s="40"/>
      <c r="G10" s="40"/>
      <c r="H10" s="40"/>
      <c r="L10" s="30"/>
      <c r="M10" s="30"/>
      <c r="N10" s="30"/>
      <c r="O10" s="30"/>
      <c r="P10" s="30"/>
    </row>
    <row r="11" spans="2:16" s="38" customFormat="1">
      <c r="B11" s="39"/>
      <c r="F11" s="40"/>
      <c r="G11" s="43" t="s">
        <v>56</v>
      </c>
      <c r="H11" s="40"/>
      <c r="L11" s="30"/>
      <c r="M11" s="30"/>
      <c r="N11" s="30"/>
      <c r="O11" s="30"/>
      <c r="P11" s="30"/>
    </row>
    <row r="12" spans="2:16" s="38" customFormat="1">
      <c r="B12" s="39"/>
      <c r="F12" s="40"/>
      <c r="G12" s="40"/>
      <c r="H12" s="40"/>
    </row>
    <row r="13" spans="2:16" s="38" customFormat="1">
      <c r="B13" s="39"/>
      <c r="F13" s="40"/>
      <c r="G13" s="40"/>
      <c r="H13" s="40"/>
    </row>
    <row r="14" spans="2:16" s="38" customFormat="1">
      <c r="B14" s="39" t="s">
        <v>57</v>
      </c>
      <c r="D14" s="38" t="s">
        <v>58</v>
      </c>
      <c r="F14" s="45" t="s">
        <v>87</v>
      </c>
      <c r="G14" s="45" t="s">
        <v>88</v>
      </c>
      <c r="H14" s="45" t="s">
        <v>89</v>
      </c>
      <c r="L14" s="30"/>
      <c r="M14" s="30"/>
      <c r="N14" s="30"/>
      <c r="O14" s="30"/>
      <c r="P14" s="30"/>
    </row>
    <row r="15" spans="2:16" s="38" customFormat="1" ht="15" customHeight="1">
      <c r="B15" s="39">
        <v>43566</v>
      </c>
      <c r="D15" s="38" t="s">
        <v>932</v>
      </c>
      <c r="F15" s="40">
        <v>500000</v>
      </c>
      <c r="G15" s="46"/>
      <c r="H15" s="40">
        <f>F15-G15</f>
        <v>500000</v>
      </c>
      <c r="L15" s="30"/>
      <c r="M15" s="30"/>
      <c r="N15" s="30"/>
      <c r="O15" s="30"/>
      <c r="P15" s="30"/>
    </row>
    <row r="16" spans="2:16" s="38" customFormat="1" ht="15" customHeight="1">
      <c r="B16" s="39">
        <v>43566</v>
      </c>
      <c r="D16" s="38" t="s">
        <v>917</v>
      </c>
      <c r="F16" s="40">
        <v>50000</v>
      </c>
      <c r="G16" s="40"/>
      <c r="H16" s="40">
        <f t="shared" ref="H16:H19" si="0">H15+F16-G16</f>
        <v>550000</v>
      </c>
      <c r="L16" s="30"/>
      <c r="M16" s="30"/>
      <c r="N16" s="30"/>
      <c r="O16" s="30"/>
      <c r="P16" s="30"/>
    </row>
    <row r="17" spans="2:16" s="38" customFormat="1" ht="15" customHeight="1">
      <c r="B17" s="39">
        <v>43640</v>
      </c>
      <c r="D17" s="38" t="s">
        <v>917</v>
      </c>
      <c r="F17" s="40">
        <v>100000</v>
      </c>
      <c r="G17" s="40"/>
      <c r="H17" s="40">
        <f t="shared" si="0"/>
        <v>650000</v>
      </c>
      <c r="L17" s="30"/>
      <c r="M17" s="30"/>
      <c r="N17" s="30"/>
      <c r="O17" s="30"/>
      <c r="P17" s="30"/>
    </row>
    <row r="18" spans="2:16" s="38" customFormat="1" ht="15" customHeight="1">
      <c r="B18" s="39">
        <v>43825</v>
      </c>
      <c r="D18" s="38" t="s">
        <v>917</v>
      </c>
      <c r="F18" s="40">
        <v>200000</v>
      </c>
      <c r="G18" s="40"/>
      <c r="H18" s="40">
        <f t="shared" si="0"/>
        <v>850000</v>
      </c>
      <c r="L18" s="30"/>
      <c r="M18" s="30"/>
      <c r="N18" s="30"/>
      <c r="O18" s="30"/>
      <c r="P18" s="30"/>
    </row>
    <row r="19" spans="2:16" s="38" customFormat="1" ht="15" customHeight="1">
      <c r="B19" s="39">
        <v>43946</v>
      </c>
      <c r="D19" s="38" t="s">
        <v>917</v>
      </c>
      <c r="F19" s="40">
        <v>300000</v>
      </c>
      <c r="G19" s="40"/>
      <c r="H19" s="40">
        <f t="shared" si="0"/>
        <v>1150000</v>
      </c>
      <c r="L19" s="30"/>
      <c r="M19" s="30"/>
      <c r="N19" s="30"/>
      <c r="O19" s="30"/>
      <c r="P19" s="30"/>
    </row>
    <row r="20" spans="2:16" ht="15" customHeight="1">
      <c r="D20" s="38"/>
      <c r="H20" s="40"/>
    </row>
    <row r="21" spans="2:16" ht="15" customHeight="1">
      <c r="D21" s="38"/>
      <c r="H21" s="40"/>
    </row>
    <row r="22" spans="2:16" ht="15" customHeight="1">
      <c r="H22" s="40"/>
    </row>
    <row r="23" spans="2:16" ht="15" customHeight="1">
      <c r="H23" s="40"/>
    </row>
    <row r="24" spans="2:16" ht="15" customHeight="1">
      <c r="D24" s="38"/>
      <c r="G24" s="40"/>
      <c r="H24" s="40"/>
    </row>
    <row r="25" spans="2:16" ht="15" customHeight="1"/>
    <row r="26" spans="2:16" ht="15" customHeight="1"/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50" spans="4:16" ht="15" customHeight="1">
      <c r="D50" s="76" t="s">
        <v>307</v>
      </c>
      <c r="E50" s="48"/>
      <c r="F50" s="53">
        <f>SUM(F15:F49)</f>
        <v>1150000</v>
      </c>
      <c r="G50" s="53">
        <f>SUM(G15:G49)</f>
        <v>0</v>
      </c>
      <c r="H50" s="77">
        <f>F50-G50</f>
        <v>1150000</v>
      </c>
      <c r="L50" s="92">
        <f>SUM(L3:L11)</f>
        <v>500000</v>
      </c>
      <c r="M50" s="92">
        <f>SUM(M3:M49)</f>
        <v>650000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1150000</v>
      </c>
    </row>
  </sheetData>
  <mergeCells count="1">
    <mergeCell ref="L1:P1"/>
  </mergeCells>
  <phoneticPr fontId="7" type="noConversion"/>
  <pageMargins left="0" right="0.74803149606299213" top="0.6692913385826772" bottom="0.98425196850393704" header="0.51181102362204722" footer="0.51181102362204722"/>
  <pageSetup scale="90" orientation="landscape" horizontalDpi="4294967293" verticalDpi="0" r:id="rId1"/>
  <headerFooter alignWithMargins="0"/>
  <legacyDrawing r:id="rId2"/>
  <oleObjects>
    <oleObject progId="CorelDRAW.Graphic.11" shapeId="24577" r:id="rId3"/>
    <oleObject progId="CorelDRAW.Graphic.11" shapeId="24578" r:id="rId4"/>
  </oleObjects>
</worksheet>
</file>

<file path=xl/worksheets/sheet59.xml><?xml version="1.0" encoding="utf-8"?>
<worksheet xmlns="http://schemas.openxmlformats.org/spreadsheetml/2006/main" xmlns:r="http://schemas.openxmlformats.org/officeDocument/2006/relationships">
  <sheetPr>
    <tabColor rgb="FF00FF00"/>
  </sheetPr>
  <dimension ref="B1:P51"/>
  <sheetViews>
    <sheetView workbookViewId="0">
      <selection activeCell="B30" sqref="B30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4" width="14.140625" style="156" customWidth="1"/>
    <col min="15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1028</v>
      </c>
      <c r="G1" s="307" t="s">
        <v>1022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308" t="s">
        <v>213</v>
      </c>
      <c r="G2" s="18" t="s">
        <v>53</v>
      </c>
      <c r="L2" s="91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3" t="s">
        <v>310</v>
      </c>
      <c r="G3" s="18" t="s">
        <v>61</v>
      </c>
      <c r="H3" s="311" t="s">
        <v>1029</v>
      </c>
      <c r="L3" s="92">
        <f>F15</f>
        <v>500000</v>
      </c>
      <c r="M3" s="156">
        <v>50000</v>
      </c>
      <c r="N3" s="156">
        <v>50000</v>
      </c>
      <c r="O3" s="21"/>
      <c r="P3" s="92"/>
    </row>
    <row r="4" spans="2:16">
      <c r="D4" t="s">
        <v>52</v>
      </c>
      <c r="G4" s="307" t="s">
        <v>1026</v>
      </c>
      <c r="M4" s="156">
        <v>50000</v>
      </c>
      <c r="N4" s="156">
        <v>50000</v>
      </c>
      <c r="O4" s="92"/>
    </row>
    <row r="5" spans="2:16">
      <c r="G5" s="18"/>
      <c r="M5" s="156">
        <v>50000</v>
      </c>
      <c r="N5" s="156">
        <v>50000</v>
      </c>
    </row>
    <row r="6" spans="2:16">
      <c r="G6" s="307" t="s">
        <v>1021</v>
      </c>
      <c r="M6" s="156">
        <v>50000</v>
      </c>
      <c r="N6" s="156">
        <v>50000</v>
      </c>
    </row>
    <row r="7" spans="2:16">
      <c r="G7" s="24" t="s">
        <v>950</v>
      </c>
      <c r="M7" s="156">
        <v>50000</v>
      </c>
      <c r="N7" s="156">
        <v>50000</v>
      </c>
    </row>
    <row r="8" spans="2:16">
      <c r="G8" s="18"/>
      <c r="M8" s="156">
        <v>50000</v>
      </c>
      <c r="N8" s="156">
        <v>50000</v>
      </c>
    </row>
    <row r="9" spans="2:16">
      <c r="M9" s="156">
        <v>50000</v>
      </c>
      <c r="N9" s="156">
        <v>50000</v>
      </c>
    </row>
    <row r="10" spans="2:16">
      <c r="M10" s="156">
        <v>50000</v>
      </c>
      <c r="N10" s="156">
        <v>50000</v>
      </c>
    </row>
    <row r="11" spans="2:16">
      <c r="G11" s="18" t="s">
        <v>56</v>
      </c>
      <c r="M11" s="156">
        <v>50000</v>
      </c>
      <c r="N11" s="156">
        <v>50000</v>
      </c>
    </row>
    <row r="12" spans="2:16">
      <c r="M12" s="156">
        <v>50000</v>
      </c>
    </row>
    <row r="13" spans="2:16">
      <c r="M13" s="156">
        <v>50000</v>
      </c>
      <c r="N13" s="156">
        <v>150000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50000</v>
      </c>
    </row>
    <row r="15" spans="2:16" ht="15" customHeight="1">
      <c r="B15" s="19">
        <v>43566</v>
      </c>
      <c r="D15" s="55" t="s">
        <v>932</v>
      </c>
      <c r="F15" s="21">
        <v>500000</v>
      </c>
      <c r="G15" s="22"/>
      <c r="H15" s="21">
        <f>F15-G15</f>
        <v>500000</v>
      </c>
      <c r="M15" s="156">
        <v>50000</v>
      </c>
    </row>
    <row r="16" spans="2:16" ht="15" customHeight="1">
      <c r="B16" s="554">
        <v>43566</v>
      </c>
      <c r="D16" s="55" t="s">
        <v>917</v>
      </c>
      <c r="F16" s="21">
        <v>50000</v>
      </c>
      <c r="H16" s="21">
        <f>H15+F16-G16</f>
        <v>550000</v>
      </c>
      <c r="M16" s="156">
        <v>100000</v>
      </c>
    </row>
    <row r="17" spans="2:15" ht="15" customHeight="1">
      <c r="B17" s="336">
        <v>43588</v>
      </c>
      <c r="D17" s="55" t="s">
        <v>1041</v>
      </c>
      <c r="F17" s="21">
        <v>100000</v>
      </c>
      <c r="H17" s="21">
        <f>H16+F17-G17</f>
        <v>650000</v>
      </c>
    </row>
    <row r="18" spans="2:15" ht="15" customHeight="1">
      <c r="B18" s="336">
        <v>43627</v>
      </c>
      <c r="D18" s="55" t="s">
        <v>1041</v>
      </c>
      <c r="F18" s="21">
        <v>100000</v>
      </c>
      <c r="H18" s="21">
        <f>H17+F18-G18</f>
        <v>750000</v>
      </c>
    </row>
    <row r="19" spans="2:15" ht="15" customHeight="1">
      <c r="B19" s="336">
        <v>43661</v>
      </c>
      <c r="D19" s="55" t="s">
        <v>1041</v>
      </c>
      <c r="F19" s="21">
        <v>100000</v>
      </c>
      <c r="H19" s="21">
        <f>H18+F19-G19</f>
        <v>850000</v>
      </c>
    </row>
    <row r="20" spans="2:15" ht="15" customHeight="1">
      <c r="B20" s="19">
        <v>43679</v>
      </c>
      <c r="D20" s="55" t="s">
        <v>1041</v>
      </c>
      <c r="F20" s="21">
        <v>100000</v>
      </c>
      <c r="H20" s="21">
        <f>H19+F20-G20</f>
        <v>950000</v>
      </c>
    </row>
    <row r="21" spans="2:15" ht="15" customHeight="1">
      <c r="B21" s="554">
        <v>43707</v>
      </c>
      <c r="D21" s="55" t="s">
        <v>1041</v>
      </c>
      <c r="F21" s="55" t="s">
        <v>917</v>
      </c>
      <c r="G21"/>
      <c r="H21" s="21">
        <v>50000</v>
      </c>
      <c r="L21" s="161"/>
      <c r="O21" s="161"/>
    </row>
    <row r="22" spans="2:15" ht="15" customHeight="1">
      <c r="B22" s="19">
        <v>43737</v>
      </c>
      <c r="D22" s="55" t="s">
        <v>1041</v>
      </c>
      <c r="F22" s="21">
        <v>100000</v>
      </c>
      <c r="H22" s="21">
        <f t="shared" ref="H22:H28" si="0">H21+F22-G22</f>
        <v>150000</v>
      </c>
    </row>
    <row r="23" spans="2:15" ht="15" customHeight="1">
      <c r="B23" s="19">
        <v>43778</v>
      </c>
      <c r="D23" s="55" t="s">
        <v>1041</v>
      </c>
      <c r="F23" s="21">
        <v>100000</v>
      </c>
      <c r="H23" s="21">
        <f t="shared" si="0"/>
        <v>250000</v>
      </c>
    </row>
    <row r="24" spans="2:15" ht="15" customHeight="1">
      <c r="B24" s="19">
        <v>43797</v>
      </c>
      <c r="D24" s="55" t="s">
        <v>1041</v>
      </c>
      <c r="F24" s="21">
        <v>100000</v>
      </c>
      <c r="H24" s="21">
        <f t="shared" si="0"/>
        <v>350000</v>
      </c>
    </row>
    <row r="25" spans="2:15" ht="15" customHeight="1">
      <c r="B25" s="19">
        <v>43840</v>
      </c>
      <c r="D25" s="55" t="s">
        <v>1041</v>
      </c>
      <c r="F25" s="21">
        <v>100000</v>
      </c>
      <c r="H25" s="21">
        <f t="shared" si="0"/>
        <v>450000</v>
      </c>
    </row>
    <row r="26" spans="2:15" ht="15" customHeight="1">
      <c r="B26" s="19">
        <v>43889</v>
      </c>
      <c r="D26" s="55" t="s">
        <v>1041</v>
      </c>
      <c r="F26" s="21">
        <v>200000</v>
      </c>
      <c r="H26" s="21">
        <f t="shared" si="0"/>
        <v>650000</v>
      </c>
    </row>
    <row r="27" spans="2:15" ht="15" customHeight="1">
      <c r="B27" s="19">
        <v>43922</v>
      </c>
      <c r="D27" s="55" t="s">
        <v>993</v>
      </c>
      <c r="F27" s="21">
        <v>50000</v>
      </c>
      <c r="H27" s="21">
        <f t="shared" si="0"/>
        <v>700000</v>
      </c>
    </row>
    <row r="28" spans="2:15" ht="15" customHeight="1">
      <c r="B28" s="554">
        <v>43964</v>
      </c>
      <c r="D28" s="55" t="s">
        <v>993</v>
      </c>
      <c r="F28" s="21">
        <v>50000</v>
      </c>
      <c r="H28" s="21">
        <f t="shared" si="0"/>
        <v>750000</v>
      </c>
    </row>
    <row r="29" spans="2:15" ht="15" customHeight="1">
      <c r="B29" s="19">
        <v>44103</v>
      </c>
      <c r="D29" s="55" t="s">
        <v>917</v>
      </c>
      <c r="F29" s="21">
        <v>100000</v>
      </c>
    </row>
    <row r="30" spans="2:15" ht="15" customHeight="1"/>
    <row r="31" spans="2:15" ht="15" customHeight="1"/>
    <row r="32" spans="2:1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1750000</v>
      </c>
      <c r="G50" s="53">
        <f>SUM(G15:G49)</f>
        <v>0</v>
      </c>
      <c r="H50" s="77">
        <f>F50-G50</f>
        <v>1750000</v>
      </c>
      <c r="L50" s="92">
        <f>SUM(L3:L11)</f>
        <v>500000</v>
      </c>
      <c r="M50" s="156">
        <f>SUM(M3:M49)</f>
        <v>750000</v>
      </c>
      <c r="N50" s="156">
        <f>SUM(N3:N49)</f>
        <v>600000</v>
      </c>
      <c r="O50" s="156">
        <f>SUM(O3:O49)</f>
        <v>0</v>
      </c>
      <c r="P50" s="156">
        <f>SUM(P3:P49)</f>
        <v>0</v>
      </c>
    </row>
    <row r="51" spans="4:16">
      <c r="P51" s="92">
        <f>SUM(L50:P50)</f>
        <v>1850000</v>
      </c>
    </row>
  </sheetData>
  <mergeCells count="1">
    <mergeCell ref="L1:P1"/>
  </mergeCells>
  <phoneticPr fontId="7" type="noConversion"/>
  <pageMargins left="0.74803149606299213" right="0.74803149606299213" top="0.98425196850393704" bottom="0.98425196850393704" header="0.51181102362204722" footer="0.51181102362204722"/>
  <pageSetup paperSize="9" scale="80" orientation="landscape" horizontalDpi="4294967293" verticalDpi="0" r:id="rId1"/>
  <headerFooter alignWithMargins="0"/>
  <legacyDrawing r:id="rId2"/>
  <oleObjects>
    <oleObject progId="CorelDRAW.Graphic.11" shapeId="40961" r:id="rId3"/>
    <oleObject progId="CorelDRAW.Graphic.11" shapeId="40962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2">
    <tabColor rgb="FFFFC000"/>
  </sheetPr>
  <dimension ref="B1:P49"/>
  <sheetViews>
    <sheetView topLeftCell="A16" workbookViewId="0">
      <selection activeCell="M5" sqref="M5"/>
    </sheetView>
  </sheetViews>
  <sheetFormatPr defaultRowHeight="12.75"/>
  <cols>
    <col min="1" max="1" width="1.140625" customWidth="1"/>
    <col min="2" max="2" width="9.85546875" style="19" customWidth="1"/>
    <col min="3" max="3" width="1.5703125" customWidth="1"/>
    <col min="5" max="5" width="25.42578125" customWidth="1"/>
    <col min="6" max="6" width="12" style="21" customWidth="1"/>
    <col min="7" max="7" width="11.710937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35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70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385</v>
      </c>
      <c r="P2" s="91" t="s">
        <v>341</v>
      </c>
    </row>
    <row r="3" spans="2:16">
      <c r="B3" s="19" t="s">
        <v>11</v>
      </c>
      <c r="C3" t="s">
        <v>3</v>
      </c>
      <c r="D3" t="s">
        <v>114</v>
      </c>
      <c r="G3" s="18" t="s">
        <v>61</v>
      </c>
      <c r="H3" s="21" t="s">
        <v>36</v>
      </c>
      <c r="L3" s="92">
        <f>F15</f>
        <v>200000</v>
      </c>
      <c r="M3" s="92">
        <f>F16</f>
        <v>20000</v>
      </c>
      <c r="N3" s="92"/>
      <c r="O3" s="92">
        <f>F17</f>
        <v>17464.325338901119</v>
      </c>
      <c r="P3" s="92"/>
    </row>
    <row r="4" spans="2:16">
      <c r="D4" t="s">
        <v>52</v>
      </c>
      <c r="G4" s="18" t="s">
        <v>115</v>
      </c>
      <c r="L4" s="92">
        <v>300000</v>
      </c>
      <c r="M4" s="92">
        <v>500000</v>
      </c>
      <c r="N4" s="92"/>
      <c r="O4" s="92">
        <v>23157.079072175129</v>
      </c>
    </row>
    <row r="5" spans="2:16">
      <c r="G5" s="18"/>
      <c r="M5" s="92">
        <v>202500</v>
      </c>
      <c r="O5" s="161">
        <v>13348.609805447668</v>
      </c>
    </row>
    <row r="6" spans="2:16">
      <c r="G6" s="18" t="s">
        <v>116</v>
      </c>
      <c r="M6" s="92"/>
      <c r="O6" s="161">
        <v>10661.635198483193</v>
      </c>
    </row>
    <row r="7" spans="2:16">
      <c r="G7" s="24" t="s">
        <v>55</v>
      </c>
      <c r="M7" s="92"/>
      <c r="O7" s="161">
        <v>13921.233596425189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40672</v>
      </c>
      <c r="D15" t="s">
        <v>59</v>
      </c>
      <c r="F15" s="21">
        <v>200000</v>
      </c>
      <c r="G15" s="22"/>
      <c r="H15" s="21">
        <f>F15-G15</f>
        <v>200000</v>
      </c>
    </row>
    <row r="16" spans="2:16" ht="15" customHeight="1">
      <c r="B16" s="19">
        <v>40672</v>
      </c>
      <c r="D16" t="s">
        <v>102</v>
      </c>
      <c r="F16" s="21">
        <v>20000</v>
      </c>
      <c r="H16" s="21">
        <f>H15+F16-G16</f>
        <v>220000</v>
      </c>
    </row>
    <row r="17" spans="2:16" ht="15" customHeight="1">
      <c r="B17" s="19">
        <v>41274</v>
      </c>
      <c r="D17" t="s">
        <v>392</v>
      </c>
      <c r="F17" s="21">
        <v>17464.325338901119</v>
      </c>
      <c r="H17" s="21">
        <f>H16+F17-G17</f>
        <v>237464.32533890111</v>
      </c>
    </row>
    <row r="18" spans="2:16" ht="15" customHeight="1">
      <c r="B18" s="336">
        <v>41639</v>
      </c>
      <c r="D18" t="s">
        <v>499</v>
      </c>
      <c r="F18" s="21">
        <v>23157.079072175129</v>
      </c>
      <c r="H18" s="21">
        <f>H17+F18-G18</f>
        <v>260621.40441107625</v>
      </c>
    </row>
    <row r="19" spans="2:16" ht="15" customHeight="1">
      <c r="B19" s="336">
        <v>42004</v>
      </c>
      <c r="D19" t="s">
        <v>592</v>
      </c>
      <c r="F19" s="342">
        <v>13348.609805447668</v>
      </c>
      <c r="H19" s="21">
        <f t="shared" ref="H19:H24" si="0">H18+F19-G19</f>
        <v>273970.01421652391</v>
      </c>
    </row>
    <row r="20" spans="2:16" ht="15" customHeight="1">
      <c r="B20" s="336">
        <v>42369</v>
      </c>
      <c r="D20" t="s">
        <v>694</v>
      </c>
      <c r="F20" s="369">
        <v>10661.635198483193</v>
      </c>
      <c r="H20" s="21">
        <f t="shared" si="0"/>
        <v>284631.64941500709</v>
      </c>
    </row>
    <row r="21" spans="2:16" ht="15" customHeight="1">
      <c r="B21" s="336">
        <v>42735</v>
      </c>
      <c r="D21" t="s">
        <v>732</v>
      </c>
      <c r="F21" s="369">
        <v>13921.233596425189</v>
      </c>
      <c r="H21" s="21">
        <f t="shared" si="0"/>
        <v>298552.88301143231</v>
      </c>
    </row>
    <row r="22" spans="2:16" ht="15" customHeight="1">
      <c r="B22" s="19">
        <v>43039</v>
      </c>
      <c r="D22" t="s">
        <v>816</v>
      </c>
      <c r="F22" s="21">
        <v>300000</v>
      </c>
      <c r="H22" s="21">
        <f t="shared" si="0"/>
        <v>598552.88301143236</v>
      </c>
    </row>
    <row r="23" spans="2:16" ht="15" customHeight="1">
      <c r="B23" s="336">
        <v>43039</v>
      </c>
      <c r="D23" t="s">
        <v>817</v>
      </c>
      <c r="F23" s="21">
        <v>500000</v>
      </c>
      <c r="H23" s="21">
        <f t="shared" si="0"/>
        <v>1098552.8830114324</v>
      </c>
    </row>
    <row r="24" spans="2:16" ht="15" customHeight="1">
      <c r="B24" s="19">
        <v>43900</v>
      </c>
      <c r="D24" t="s">
        <v>1125</v>
      </c>
      <c r="E24" t="s">
        <v>1126</v>
      </c>
      <c r="F24" s="21">
        <v>202500</v>
      </c>
      <c r="H24" s="21">
        <f t="shared" si="0"/>
        <v>1301052.8830114324</v>
      </c>
    </row>
    <row r="25" spans="2:16" ht="15" customHeight="1"/>
    <row r="26" spans="2:16" ht="15" customHeight="1"/>
    <row r="27" spans="2:16" ht="15" customHeight="1"/>
    <row r="28" spans="2:16" ht="15" customHeight="1"/>
    <row r="29" spans="2:16" ht="15" customHeight="1">
      <c r="L29" s="92">
        <f>SUM(L3:L11)</f>
        <v>500000</v>
      </c>
      <c r="M29" s="92">
        <f>SUM(M3:M11)</f>
        <v>722500</v>
      </c>
      <c r="N29" s="92">
        <f>SUM(N3:N11)</f>
        <v>0</v>
      </c>
      <c r="O29" s="92">
        <f>SUM(O3:O11)</f>
        <v>78552.883011432292</v>
      </c>
      <c r="P29" s="92">
        <f>SUM(P3:P11)</f>
        <v>0</v>
      </c>
    </row>
    <row r="30" spans="2:16" ht="15" customHeight="1">
      <c r="P30" s="92">
        <f>SUM(L29:P29)</f>
        <v>1301052.8830114324</v>
      </c>
    </row>
    <row r="31" spans="2:16" ht="15" customHeight="1"/>
    <row r="32" spans="2:1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9" spans="4:8" ht="15" customHeight="1">
      <c r="D49" s="76" t="s">
        <v>307</v>
      </c>
      <c r="E49" s="48"/>
      <c r="F49" s="53">
        <f>SUM(F15:F48)</f>
        <v>1301052.8830114324</v>
      </c>
      <c r="G49" s="53">
        <f>SUM(G15:G48)</f>
        <v>0</v>
      </c>
      <c r="H49" s="77">
        <f>F49-G49</f>
        <v>1301052.8830114324</v>
      </c>
    </row>
  </sheetData>
  <mergeCells count="1">
    <mergeCell ref="L1:P1"/>
  </mergeCells>
  <phoneticPr fontId="7" type="noConversion"/>
  <pageMargins left="0" right="0.75" top="0.34" bottom="1" header="0.24" footer="0.5"/>
  <pageSetup paperSize="9" orientation="landscape" horizontalDpi="4294967294" r:id="rId1"/>
  <headerFooter alignWithMargins="0"/>
  <drawing r:id="rId2"/>
  <legacyDrawing r:id="rId3"/>
  <oleObjects>
    <oleObject progId="CorelDRAW.Graphic.11" shapeId="1026" r:id="rId4"/>
    <oleObject progId="CorelDRAW.Graphic.11" shapeId="1028" r:id="rId5"/>
    <oleObject progId="CorelDRAW.Graphic.11" shapeId="1034" r:id="rId6"/>
    <oleObject progId="CorelDRAW.Graphic.11" shapeId="1035" r:id="rId7"/>
  </oleObjects>
</worksheet>
</file>

<file path=xl/worksheets/sheet60.xml><?xml version="1.0" encoding="utf-8"?>
<worksheet xmlns="http://schemas.openxmlformats.org/spreadsheetml/2006/main" xmlns:r="http://schemas.openxmlformats.org/officeDocument/2006/relationships">
  <sheetPr>
    <tabColor rgb="FF00FF00"/>
  </sheetPr>
  <dimension ref="B1:P64"/>
  <sheetViews>
    <sheetView workbookViewId="0">
      <selection activeCell="M6" sqref="M6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16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1030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214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3" t="s">
        <v>1031</v>
      </c>
      <c r="G3" s="18" t="s">
        <v>61</v>
      </c>
      <c r="H3" s="22" t="s">
        <v>1033</v>
      </c>
      <c r="L3" s="92">
        <f>F15</f>
        <v>500000</v>
      </c>
      <c r="M3" s="92">
        <f>F16</f>
        <v>50000</v>
      </c>
      <c r="N3" s="92">
        <f>F18</f>
        <v>400000</v>
      </c>
      <c r="O3" s="92"/>
    </row>
    <row r="4" spans="2:16">
      <c r="D4" t="s">
        <v>1032</v>
      </c>
      <c r="G4" s="18" t="s">
        <v>1034</v>
      </c>
      <c r="M4" s="92">
        <v>450000</v>
      </c>
      <c r="N4" s="92"/>
      <c r="O4" s="92"/>
    </row>
    <row r="5" spans="2:16">
      <c r="G5" s="18"/>
      <c r="M5" s="92">
        <v>400000</v>
      </c>
      <c r="N5" s="92"/>
      <c r="O5" s="92"/>
    </row>
    <row r="6" spans="2:16">
      <c r="G6" s="18" t="s">
        <v>1035</v>
      </c>
      <c r="M6" s="92"/>
      <c r="N6" s="92"/>
    </row>
    <row r="7" spans="2:16">
      <c r="G7" s="24" t="s">
        <v>950</v>
      </c>
      <c r="M7" s="92"/>
      <c r="N7" s="92"/>
    </row>
    <row r="8" spans="2:16">
      <c r="G8" s="18"/>
      <c r="M8" s="92"/>
      <c r="N8" s="92"/>
    </row>
    <row r="9" spans="2:16">
      <c r="M9" s="92"/>
    </row>
    <row r="10" spans="2:16">
      <c r="M10" s="92"/>
    </row>
    <row r="11" spans="2:16">
      <c r="G11" s="18" t="s">
        <v>56</v>
      </c>
      <c r="M11" s="92"/>
    </row>
    <row r="12" spans="2:16">
      <c r="M12" s="92"/>
    </row>
    <row r="13" spans="2:16">
      <c r="M13" s="92"/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92"/>
    </row>
    <row r="15" spans="2:16" ht="15" customHeight="1">
      <c r="B15" s="19">
        <v>43570</v>
      </c>
      <c r="D15" t="s">
        <v>932</v>
      </c>
      <c r="F15" s="21">
        <v>500000</v>
      </c>
      <c r="G15" s="22"/>
      <c r="H15" s="21">
        <f>F15-G15</f>
        <v>500000</v>
      </c>
      <c r="M15" s="92"/>
    </row>
    <row r="16" spans="2:16" ht="15" customHeight="1">
      <c r="B16" s="19">
        <v>43570</v>
      </c>
      <c r="D16" t="s">
        <v>917</v>
      </c>
      <c r="F16" s="21">
        <v>50000</v>
      </c>
      <c r="H16" s="21">
        <f t="shared" ref="H16:H18" si="0">H15+F16-G16</f>
        <v>550000</v>
      </c>
      <c r="M16" s="92"/>
    </row>
    <row r="17" spans="2:13" ht="15" customHeight="1">
      <c r="B17" s="19">
        <v>43842</v>
      </c>
      <c r="D17" t="s">
        <v>1106</v>
      </c>
      <c r="F17" s="21">
        <v>450000</v>
      </c>
      <c r="H17" s="21">
        <f t="shared" si="0"/>
        <v>1000000</v>
      </c>
      <c r="M17" s="92"/>
    </row>
    <row r="18" spans="2:13" ht="15" customHeight="1">
      <c r="B18" s="19">
        <v>44085</v>
      </c>
      <c r="D18" t="s">
        <v>993</v>
      </c>
      <c r="F18" s="21">
        <v>400000</v>
      </c>
      <c r="H18" s="21">
        <f t="shared" si="0"/>
        <v>1400000</v>
      </c>
      <c r="M18" s="92"/>
    </row>
    <row r="19" spans="2:13" ht="15" customHeight="1">
      <c r="M19" s="92"/>
    </row>
    <row r="20" spans="2:13" ht="15" customHeight="1">
      <c r="M20" s="92"/>
    </row>
    <row r="21" spans="2:13" ht="15" customHeight="1">
      <c r="M21" s="92"/>
    </row>
    <row r="22" spans="2:13" ht="15" customHeight="1">
      <c r="M22" s="92"/>
    </row>
    <row r="23" spans="2:13" ht="15" customHeight="1">
      <c r="M23" s="92"/>
    </row>
    <row r="24" spans="2:13" ht="15" customHeight="1">
      <c r="M24" s="92"/>
    </row>
    <row r="25" spans="2:13" ht="15" customHeight="1">
      <c r="M25" s="92"/>
    </row>
    <row r="26" spans="2:13" ht="15" customHeight="1">
      <c r="M26" s="92"/>
    </row>
    <row r="27" spans="2:13" ht="15" customHeight="1">
      <c r="M27" s="92"/>
    </row>
    <row r="28" spans="2:13" ht="15" customHeight="1">
      <c r="M28" s="92"/>
    </row>
    <row r="29" spans="2:13" ht="15" customHeight="1">
      <c r="M29" s="92"/>
    </row>
    <row r="30" spans="2:13" ht="15" customHeight="1"/>
    <row r="31" spans="2:13" ht="15" customHeight="1"/>
    <row r="32" spans="2:13" ht="15" customHeight="1"/>
    <row r="33" spans="4:4" ht="15" customHeight="1"/>
    <row r="34" spans="4:4" ht="15" customHeight="1"/>
    <row r="35" spans="4:4" ht="15" customHeight="1"/>
    <row r="36" spans="4:4" ht="15" customHeight="1"/>
    <row r="37" spans="4:4" ht="15" customHeight="1"/>
    <row r="38" spans="4:4" ht="15" customHeight="1"/>
    <row r="39" spans="4:4" ht="15" customHeight="1"/>
    <row r="40" spans="4:4" ht="15" customHeight="1"/>
    <row r="41" spans="4:4" ht="15" customHeight="1">
      <c r="D41" s="55"/>
    </row>
    <row r="42" spans="4:4" ht="15" customHeight="1"/>
    <row r="43" spans="4:4" ht="15" customHeight="1"/>
    <row r="44" spans="4:4" ht="15" customHeight="1">
      <c r="D44" s="55"/>
    </row>
    <row r="45" spans="4:4" ht="15" customHeight="1">
      <c r="D45" s="55"/>
    </row>
    <row r="46" spans="4:4">
      <c r="D46" s="55"/>
    </row>
    <row r="47" spans="4:4">
      <c r="D47" s="55"/>
    </row>
    <row r="48" spans="4:4">
      <c r="D48" s="55"/>
    </row>
    <row r="49" spans="4:16">
      <c r="D49" s="55"/>
    </row>
    <row r="50" spans="4:16">
      <c r="D50" s="55"/>
    </row>
    <row r="51" spans="4:16">
      <c r="D51" s="55"/>
    </row>
    <row r="52" spans="4:16">
      <c r="D52" s="55"/>
    </row>
    <row r="53" spans="4:16">
      <c r="D53" s="55"/>
    </row>
    <row r="54" spans="4:16">
      <c r="D54" s="55"/>
    </row>
    <row r="55" spans="4:16">
      <c r="D55" s="55"/>
    </row>
    <row r="56" spans="4:16">
      <c r="D56" s="55"/>
    </row>
    <row r="57" spans="4:16">
      <c r="D57" s="55"/>
    </row>
    <row r="58" spans="4:16">
      <c r="D58" s="55"/>
    </row>
    <row r="59" spans="4:16">
      <c r="D59" s="55"/>
    </row>
    <row r="60" spans="4:16">
      <c r="D60" s="55"/>
    </row>
    <row r="62" spans="4:16" ht="15" customHeight="1">
      <c r="D62" s="76" t="s">
        <v>307</v>
      </c>
      <c r="E62" s="48"/>
      <c r="F62" s="53">
        <f>SUM(F15:F61)</f>
        <v>1400000</v>
      </c>
      <c r="G62" s="53">
        <f>SUM(G15:G61)</f>
        <v>0</v>
      </c>
      <c r="H62" s="77">
        <f>F62-G62</f>
        <v>1400000</v>
      </c>
      <c r="L62" s="92">
        <f>SUM(L3:L11)</f>
        <v>500000</v>
      </c>
      <c r="M62" s="92">
        <f>SUM(M3:M39)</f>
        <v>900000</v>
      </c>
      <c r="N62" s="92">
        <f>SUM(N3:N11)</f>
        <v>400000</v>
      </c>
      <c r="O62" s="92">
        <f>SUM(O3:O11)</f>
        <v>0</v>
      </c>
      <c r="P62" s="92">
        <f>SUM(P3:P11)</f>
        <v>0</v>
      </c>
    </row>
    <row r="63" spans="4:16">
      <c r="P63" s="92">
        <f>SUM(L62:P62)</f>
        <v>1800000</v>
      </c>
    </row>
    <row r="64" spans="4:16">
      <c r="H64" s="21">
        <v>1558759.010648988</v>
      </c>
    </row>
  </sheetData>
  <mergeCells count="1">
    <mergeCell ref="L1:P1"/>
  </mergeCells>
  <phoneticPr fontId="7" type="noConversion"/>
  <pageMargins left="0.35433070866141736" right="0.74803149606299213" top="0.39370078740157483" bottom="0.39370078740157483" header="0.51181102362204722" footer="0.51181102362204722"/>
  <pageSetup paperSize="9" scale="75" orientation="landscape" horizontalDpi="4294967293" verticalDpi="0" r:id="rId1"/>
  <headerFooter alignWithMargins="0"/>
  <legacyDrawing r:id="rId2"/>
  <oleObjects>
    <oleObject progId="CorelDRAW.Graphic.11" shapeId="41985" r:id="rId3"/>
    <oleObject progId="CorelDRAW.Graphic.11" shapeId="41986" r:id="rId4"/>
  </oleObjects>
</worksheet>
</file>

<file path=xl/worksheets/sheet61.xml><?xml version="1.0" encoding="utf-8"?>
<worksheet xmlns="http://schemas.openxmlformats.org/spreadsheetml/2006/main" xmlns:r="http://schemas.openxmlformats.org/officeDocument/2006/relationships">
  <sheetPr>
    <tabColor rgb="FF00FF00"/>
  </sheetPr>
  <dimension ref="B1:P51"/>
  <sheetViews>
    <sheetView topLeftCell="A19" workbookViewId="0">
      <selection activeCell="M4" sqref="M4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1036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308" t="s">
        <v>215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t="s">
        <v>1037</v>
      </c>
      <c r="G3" s="18" t="s">
        <v>61</v>
      </c>
      <c r="H3" s="22" t="s">
        <v>1040</v>
      </c>
      <c r="L3" s="92">
        <f>F15</f>
        <v>500000</v>
      </c>
      <c r="M3" s="161">
        <v>50000</v>
      </c>
      <c r="O3" s="92"/>
      <c r="P3" s="92"/>
    </row>
    <row r="4" spans="2:16">
      <c r="D4" t="s">
        <v>52</v>
      </c>
      <c r="G4" s="18" t="s">
        <v>1038</v>
      </c>
      <c r="O4" s="92"/>
    </row>
    <row r="5" spans="2:16">
      <c r="G5" s="18"/>
    </row>
    <row r="6" spans="2:16">
      <c r="G6" s="18" t="s">
        <v>1039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43587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43587</v>
      </c>
      <c r="D16" t="s">
        <v>102</v>
      </c>
      <c r="F16" s="21">
        <v>50000</v>
      </c>
      <c r="H16" s="21">
        <f t="shared" ref="H16:H31" si="0">H15+F16-G16</f>
        <v>550000</v>
      </c>
    </row>
    <row r="17" spans="2:8" ht="15" customHeight="1">
      <c r="H17" s="21">
        <f t="shared" si="0"/>
        <v>550000</v>
      </c>
    </row>
    <row r="18" spans="2:8" ht="15" customHeight="1">
      <c r="H18" s="21">
        <f t="shared" si="0"/>
        <v>550000</v>
      </c>
    </row>
    <row r="19" spans="2:8" ht="15" customHeight="1">
      <c r="H19" s="21">
        <f t="shared" si="0"/>
        <v>550000</v>
      </c>
    </row>
    <row r="20" spans="2:8" ht="15" customHeight="1">
      <c r="H20" s="21">
        <f t="shared" si="0"/>
        <v>550000</v>
      </c>
    </row>
    <row r="21" spans="2:8" ht="15" customHeight="1">
      <c r="B21" s="143"/>
      <c r="C21" s="144"/>
      <c r="D21" s="145"/>
      <c r="F21" s="23"/>
      <c r="H21" s="21">
        <f t="shared" si="0"/>
        <v>550000</v>
      </c>
    </row>
    <row r="22" spans="2:8" ht="15" customHeight="1">
      <c r="B22" s="143"/>
      <c r="D22" s="145"/>
      <c r="H22" s="21">
        <f t="shared" si="0"/>
        <v>550000</v>
      </c>
    </row>
    <row r="23" spans="2:8" ht="15" customHeight="1">
      <c r="B23" s="143"/>
      <c r="D23" s="157"/>
      <c r="H23" s="21">
        <f t="shared" si="0"/>
        <v>550000</v>
      </c>
    </row>
    <row r="24" spans="2:8" ht="15" customHeight="1">
      <c r="H24" s="21">
        <f t="shared" si="0"/>
        <v>550000</v>
      </c>
    </row>
    <row r="25" spans="2:8" ht="15" customHeight="1">
      <c r="H25" s="21">
        <f t="shared" si="0"/>
        <v>550000</v>
      </c>
    </row>
    <row r="26" spans="2:8" ht="15" customHeight="1">
      <c r="H26" s="21">
        <f t="shared" si="0"/>
        <v>550000</v>
      </c>
    </row>
    <row r="27" spans="2:8" ht="15" customHeight="1">
      <c r="H27" s="21">
        <f t="shared" si="0"/>
        <v>550000</v>
      </c>
    </row>
    <row r="28" spans="2:8" ht="15" customHeight="1">
      <c r="H28" s="21">
        <f t="shared" si="0"/>
        <v>550000</v>
      </c>
    </row>
    <row r="29" spans="2:8" ht="15" customHeight="1">
      <c r="H29" s="21">
        <f t="shared" si="0"/>
        <v>550000</v>
      </c>
    </row>
    <row r="30" spans="2:8" ht="15" customHeight="1">
      <c r="H30" s="21">
        <f t="shared" si="0"/>
        <v>550000</v>
      </c>
    </row>
    <row r="31" spans="2:8" ht="15" customHeight="1">
      <c r="D31" s="55"/>
      <c r="H31" s="21">
        <f t="shared" si="0"/>
        <v>550000</v>
      </c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550000</v>
      </c>
      <c r="G50" s="53">
        <f>SUM(G15:G49)</f>
        <v>0</v>
      </c>
      <c r="H50" s="77">
        <f>F50-G50</f>
        <v>550000</v>
      </c>
      <c r="L50" s="92">
        <f>SUM(L3:L11)</f>
        <v>500000</v>
      </c>
      <c r="M50" s="161">
        <f>SUM(M3:M36)</f>
        <v>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550000</v>
      </c>
    </row>
  </sheetData>
  <mergeCells count="1">
    <mergeCell ref="L1:P1"/>
  </mergeCells>
  <phoneticPr fontId="37" type="noConversion"/>
  <pageMargins left="0.35433070866141736" right="0.74803149606299213" top="0.39370078740157483" bottom="0.39370078740157483" header="0.51181102362204722" footer="0.51181102362204722"/>
  <pageSetup paperSize="9" scale="90" orientation="landscape" horizontalDpi="4294967293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sheetPr>
    <tabColor rgb="FF00FF00"/>
  </sheetPr>
  <dimension ref="B1:P51"/>
  <sheetViews>
    <sheetView workbookViewId="0">
      <selection activeCell="H28" sqref="H28:H29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4" max="4" width="25.7109375" customWidth="1"/>
    <col min="5" max="5" width="10.28515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4" width="14.140625" style="156" customWidth="1"/>
    <col min="15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1043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216</v>
      </c>
      <c r="G2" s="18" t="s">
        <v>53</v>
      </c>
      <c r="L2" s="91" t="s">
        <v>338</v>
      </c>
      <c r="M2" s="290" t="s">
        <v>339</v>
      </c>
      <c r="N2" s="155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t="s">
        <v>1044</v>
      </c>
      <c r="G3" s="18" t="s">
        <v>61</v>
      </c>
      <c r="H3" s="22" t="s">
        <v>1052</v>
      </c>
      <c r="L3" s="92">
        <f>F15</f>
        <v>500000</v>
      </c>
      <c r="M3" s="21">
        <v>100000</v>
      </c>
      <c r="N3" s="322">
        <v>900000</v>
      </c>
      <c r="O3" s="92"/>
      <c r="P3" s="92"/>
    </row>
    <row r="4" spans="2:16">
      <c r="D4" t="s">
        <v>1045</v>
      </c>
      <c r="G4" s="18" t="s">
        <v>1046</v>
      </c>
      <c r="M4" s="21">
        <v>100000</v>
      </c>
      <c r="N4" s="156">
        <v>1000000</v>
      </c>
      <c r="O4" s="92"/>
    </row>
    <row r="5" spans="2:16">
      <c r="G5" s="18"/>
      <c r="M5" s="161">
        <v>50000</v>
      </c>
      <c r="N5" s="156">
        <v>600000</v>
      </c>
    </row>
    <row r="6" spans="2:16">
      <c r="G6" s="18" t="s">
        <v>1047</v>
      </c>
      <c r="M6" s="161">
        <v>50000</v>
      </c>
      <c r="N6" s="156">
        <v>1500000</v>
      </c>
    </row>
    <row r="7" spans="2:16">
      <c r="G7" s="24" t="s">
        <v>950</v>
      </c>
      <c r="M7" s="161">
        <v>150000</v>
      </c>
      <c r="N7" s="156">
        <v>1350000</v>
      </c>
    </row>
    <row r="8" spans="2:16">
      <c r="G8" s="18"/>
      <c r="N8" s="156">
        <v>-2200000</v>
      </c>
    </row>
    <row r="9" spans="2:16">
      <c r="M9" s="161">
        <v>100000</v>
      </c>
      <c r="N9" s="156">
        <v>4000000</v>
      </c>
    </row>
    <row r="10" spans="2:16">
      <c r="N10" s="156">
        <v>3000000</v>
      </c>
    </row>
    <row r="11" spans="2:16">
      <c r="G11" s="18" t="s">
        <v>56</v>
      </c>
      <c r="M11" s="161">
        <v>200000</v>
      </c>
      <c r="N11" s="156">
        <v>300000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43605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336">
        <v>43654</v>
      </c>
      <c r="D16" s="55" t="s">
        <v>993</v>
      </c>
      <c r="F16" s="21">
        <v>100000</v>
      </c>
      <c r="H16" s="21">
        <f t="shared" ref="H16:H29" si="0">H15+F16-G16</f>
        <v>600000</v>
      </c>
    </row>
    <row r="17" spans="2:8" ht="15" customHeight="1">
      <c r="B17" s="554">
        <v>43654</v>
      </c>
      <c r="D17" s="55" t="s">
        <v>282</v>
      </c>
      <c r="F17" s="21">
        <v>900000</v>
      </c>
      <c r="H17" s="21">
        <f t="shared" si="0"/>
        <v>1500000</v>
      </c>
    </row>
    <row r="18" spans="2:8" ht="15" customHeight="1">
      <c r="B18" s="554">
        <v>43727</v>
      </c>
      <c r="D18" s="55" t="s">
        <v>282</v>
      </c>
      <c r="F18" s="21">
        <v>1000000</v>
      </c>
      <c r="H18" s="21">
        <f t="shared" si="0"/>
        <v>2500000</v>
      </c>
    </row>
    <row r="19" spans="2:8" ht="15" customHeight="1">
      <c r="B19" s="554">
        <v>43839</v>
      </c>
      <c r="D19" s="55" t="s">
        <v>993</v>
      </c>
      <c r="F19" s="21">
        <v>100000</v>
      </c>
      <c r="H19" s="21">
        <f t="shared" si="0"/>
        <v>2600000</v>
      </c>
    </row>
    <row r="20" spans="2:8" ht="15" customHeight="1">
      <c r="B20" s="554">
        <v>43839</v>
      </c>
      <c r="D20" s="55" t="s">
        <v>282</v>
      </c>
      <c r="F20" s="21">
        <v>600000</v>
      </c>
      <c r="H20" s="21">
        <f t="shared" si="0"/>
        <v>3200000</v>
      </c>
    </row>
    <row r="21" spans="2:8" ht="15" customHeight="1">
      <c r="B21" s="143">
        <v>43872</v>
      </c>
      <c r="C21" s="144"/>
      <c r="D21" s="168" t="s">
        <v>993</v>
      </c>
      <c r="F21" s="23">
        <v>50000</v>
      </c>
      <c r="H21" s="21">
        <f t="shared" si="0"/>
        <v>3250000</v>
      </c>
    </row>
    <row r="22" spans="2:8" ht="15" customHeight="1">
      <c r="B22" s="143">
        <v>43897</v>
      </c>
      <c r="D22" s="168" t="s">
        <v>282</v>
      </c>
      <c r="F22" s="21">
        <v>1500000</v>
      </c>
      <c r="H22" s="21">
        <f t="shared" si="0"/>
        <v>4750000</v>
      </c>
    </row>
    <row r="23" spans="2:8" ht="15" customHeight="1">
      <c r="B23" s="143">
        <v>43897</v>
      </c>
      <c r="D23" s="168" t="s">
        <v>993</v>
      </c>
      <c r="F23" s="21">
        <v>50000</v>
      </c>
      <c r="H23" s="21">
        <f t="shared" si="0"/>
        <v>4800000</v>
      </c>
    </row>
    <row r="24" spans="2:8" ht="15" customHeight="1">
      <c r="B24" s="554">
        <v>43995</v>
      </c>
      <c r="D24" s="168" t="s">
        <v>1053</v>
      </c>
      <c r="F24" s="21">
        <v>1500000</v>
      </c>
      <c r="H24" s="21">
        <f t="shared" si="0"/>
        <v>6300000</v>
      </c>
    </row>
    <row r="25" spans="2:8" ht="15" customHeight="1">
      <c r="B25" s="554">
        <v>43995</v>
      </c>
      <c r="D25" s="168" t="s">
        <v>1145</v>
      </c>
      <c r="G25" s="21">
        <v>2200000</v>
      </c>
      <c r="H25" s="21">
        <f t="shared" si="0"/>
        <v>4100000</v>
      </c>
    </row>
    <row r="26" spans="2:8" ht="15" customHeight="1">
      <c r="B26" s="554">
        <v>44014</v>
      </c>
      <c r="D26" s="168" t="s">
        <v>993</v>
      </c>
      <c r="F26" s="21">
        <v>100000</v>
      </c>
      <c r="H26" s="21">
        <f t="shared" si="0"/>
        <v>4200000</v>
      </c>
    </row>
    <row r="27" spans="2:8" ht="15" customHeight="1">
      <c r="B27" s="554">
        <v>44014</v>
      </c>
      <c r="D27" s="168" t="s">
        <v>282</v>
      </c>
      <c r="F27" s="21">
        <v>4000000</v>
      </c>
      <c r="H27" s="21">
        <f t="shared" si="0"/>
        <v>8200000</v>
      </c>
    </row>
    <row r="28" spans="2:8" ht="15" customHeight="1">
      <c r="B28" s="554">
        <v>44049</v>
      </c>
      <c r="D28" s="168" t="s">
        <v>282</v>
      </c>
      <c r="F28" s="21">
        <v>3000000</v>
      </c>
      <c r="H28" s="21">
        <f t="shared" si="0"/>
        <v>11200000</v>
      </c>
    </row>
    <row r="29" spans="2:8" ht="15" customHeight="1">
      <c r="B29" s="554">
        <v>44114</v>
      </c>
      <c r="D29" s="168" t="s">
        <v>1167</v>
      </c>
      <c r="F29" s="21">
        <v>500000</v>
      </c>
      <c r="H29" s="21">
        <f t="shared" si="0"/>
        <v>11700000</v>
      </c>
    </row>
    <row r="30" spans="2:8" ht="15" customHeight="1"/>
    <row r="31" spans="2:8" ht="15" customHeight="1">
      <c r="D31" s="55"/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13900000</v>
      </c>
      <c r="G50" s="53">
        <f>SUM(G15:G49)</f>
        <v>2200000</v>
      </c>
      <c r="H50" s="77">
        <f>F50-G50</f>
        <v>11700000</v>
      </c>
      <c r="L50" s="92">
        <f>SUM(L3:L11)</f>
        <v>500000</v>
      </c>
      <c r="M50" s="161">
        <f>SUM(M3:M36)</f>
        <v>750000</v>
      </c>
      <c r="N50" s="156">
        <f>SUM(N3:N11)</f>
        <v>10450000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11700000</v>
      </c>
    </row>
  </sheetData>
  <mergeCells count="1">
    <mergeCell ref="L1:P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sheetPr>
    <tabColor rgb="FF00FF00"/>
  </sheetPr>
  <dimension ref="B1:P51"/>
  <sheetViews>
    <sheetView workbookViewId="0"/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1048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217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t="s">
        <v>1049</v>
      </c>
      <c r="G3" s="18" t="s">
        <v>61</v>
      </c>
      <c r="H3" s="22" t="s">
        <v>1051</v>
      </c>
      <c r="L3" s="92">
        <f>F15</f>
        <v>500000</v>
      </c>
      <c r="M3" s="161">
        <v>100000</v>
      </c>
      <c r="O3" s="92"/>
      <c r="P3" s="92"/>
    </row>
    <row r="4" spans="2:16">
      <c r="D4" t="s">
        <v>1050</v>
      </c>
      <c r="G4" s="18" t="s">
        <v>1046</v>
      </c>
      <c r="M4" s="161">
        <v>50000</v>
      </c>
      <c r="O4" s="92"/>
    </row>
    <row r="5" spans="2:16">
      <c r="G5" s="18"/>
      <c r="M5" s="161">
        <v>250000</v>
      </c>
    </row>
    <row r="6" spans="2:16">
      <c r="G6" s="18" t="s">
        <v>1047</v>
      </c>
      <c r="M6" s="161">
        <v>150000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43605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43605</v>
      </c>
      <c r="D16" t="s">
        <v>917</v>
      </c>
      <c r="F16" s="21">
        <v>100000</v>
      </c>
      <c r="H16" s="21">
        <f t="shared" ref="H16:H18" si="0">H15+F16-G16</f>
        <v>600000</v>
      </c>
    </row>
    <row r="17" spans="2:8" ht="15" customHeight="1">
      <c r="B17" s="554">
        <v>43654</v>
      </c>
      <c r="D17" t="s">
        <v>917</v>
      </c>
      <c r="F17" s="21">
        <v>50000</v>
      </c>
      <c r="H17" s="21">
        <f t="shared" si="0"/>
        <v>650000</v>
      </c>
    </row>
    <row r="18" spans="2:8" ht="15" customHeight="1">
      <c r="B18" s="554">
        <v>43786</v>
      </c>
      <c r="D18" t="s">
        <v>917</v>
      </c>
      <c r="F18" s="21">
        <v>250000</v>
      </c>
      <c r="H18" s="21">
        <f t="shared" si="0"/>
        <v>900000</v>
      </c>
    </row>
    <row r="19" spans="2:8" ht="15" customHeight="1">
      <c r="B19" s="554">
        <v>43892</v>
      </c>
      <c r="D19" t="s">
        <v>917</v>
      </c>
      <c r="F19" s="21">
        <v>150000</v>
      </c>
    </row>
    <row r="20" spans="2:8" ht="15" customHeight="1"/>
    <row r="21" spans="2:8" ht="15" customHeight="1">
      <c r="B21" s="143"/>
      <c r="C21" s="144"/>
      <c r="D21" s="145"/>
      <c r="F21" s="23"/>
    </row>
    <row r="22" spans="2:8" ht="15" customHeight="1">
      <c r="B22" s="143"/>
      <c r="D22" s="145"/>
    </row>
    <row r="23" spans="2:8" ht="15" customHeight="1">
      <c r="B23" s="143"/>
      <c r="D23" s="157"/>
    </row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>
      <c r="D31" s="55"/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1050000</v>
      </c>
      <c r="G50" s="53">
        <f>SUM(G15:G49)</f>
        <v>0</v>
      </c>
      <c r="H50" s="77">
        <f>F50-G50</f>
        <v>1050000</v>
      </c>
      <c r="L50" s="92">
        <f>SUM(L3:L11)</f>
        <v>500000</v>
      </c>
      <c r="M50" s="161">
        <f>SUM(M3:M36)</f>
        <v>550000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1050000</v>
      </c>
    </row>
  </sheetData>
  <mergeCells count="1">
    <mergeCell ref="L1:P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sheetPr>
    <tabColor rgb="FF00FF00"/>
  </sheetPr>
  <dimension ref="B1:P51"/>
  <sheetViews>
    <sheetView workbookViewId="0"/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1055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218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t="s">
        <v>1056</v>
      </c>
      <c r="G3" s="18" t="s">
        <v>61</v>
      </c>
      <c r="H3" s="22" t="s">
        <v>1058</v>
      </c>
      <c r="L3" s="92">
        <f>F15</f>
        <v>500000</v>
      </c>
      <c r="M3" s="161">
        <v>50000</v>
      </c>
      <c r="O3" s="92"/>
      <c r="P3" s="92"/>
    </row>
    <row r="4" spans="2:16">
      <c r="D4" t="s">
        <v>1057</v>
      </c>
      <c r="G4" s="18" t="s">
        <v>1059</v>
      </c>
      <c r="O4" s="92"/>
    </row>
    <row r="5" spans="2:16">
      <c r="G5" s="18"/>
    </row>
    <row r="6" spans="2:16">
      <c r="G6" s="18" t="s">
        <v>962</v>
      </c>
      <c r="H6" s="21">
        <f>B15</f>
        <v>43648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43648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43648</v>
      </c>
      <c r="D16" t="s">
        <v>917</v>
      </c>
      <c r="F16" s="21">
        <v>50000</v>
      </c>
      <c r="H16" s="21">
        <f t="shared" ref="H16" si="0">H15+F16-G16</f>
        <v>550000</v>
      </c>
    </row>
    <row r="17" spans="2:6" ht="15" customHeight="1"/>
    <row r="18" spans="2:6" ht="15" customHeight="1"/>
    <row r="19" spans="2:6" ht="15" customHeight="1"/>
    <row r="20" spans="2:6" ht="15" customHeight="1"/>
    <row r="21" spans="2:6" ht="15" customHeight="1">
      <c r="B21" s="143"/>
      <c r="C21" s="144"/>
      <c r="D21" s="145"/>
      <c r="F21" s="23"/>
    </row>
    <row r="22" spans="2:6" ht="15" customHeight="1">
      <c r="B22" s="143"/>
      <c r="D22" s="145"/>
    </row>
    <row r="23" spans="2:6" ht="15" customHeight="1">
      <c r="B23" s="143"/>
      <c r="D23" s="157"/>
    </row>
    <row r="24" spans="2:6" ht="15" customHeight="1"/>
    <row r="25" spans="2:6" ht="15" customHeight="1"/>
    <row r="26" spans="2:6" ht="15" customHeight="1"/>
    <row r="27" spans="2:6" ht="15" customHeight="1"/>
    <row r="28" spans="2:6" ht="15" customHeight="1"/>
    <row r="29" spans="2:6" ht="15" customHeight="1"/>
    <row r="30" spans="2:6" ht="15" customHeight="1"/>
    <row r="31" spans="2:6" ht="15" customHeight="1">
      <c r="D31" s="55"/>
    </row>
    <row r="32" spans="2: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550000</v>
      </c>
      <c r="G50" s="53">
        <f>SUM(G15:G49)</f>
        <v>0</v>
      </c>
      <c r="H50" s="77">
        <f>F50-G50</f>
        <v>550000</v>
      </c>
      <c r="L50" s="92">
        <f>SUM(L3:L11)</f>
        <v>500000</v>
      </c>
      <c r="M50" s="161">
        <f>SUM(M3:M36)</f>
        <v>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550000</v>
      </c>
    </row>
  </sheetData>
  <mergeCells count="1">
    <mergeCell ref="L1:P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B1:P51"/>
  <sheetViews>
    <sheetView workbookViewId="0">
      <selection activeCell="E34" sqref="E34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1061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219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t="s">
        <v>1062</v>
      </c>
      <c r="G3" s="18" t="s">
        <v>61</v>
      </c>
      <c r="H3" s="22" t="s">
        <v>1064</v>
      </c>
      <c r="L3" s="92">
        <f>F15</f>
        <v>500000</v>
      </c>
      <c r="M3" s="161">
        <v>50000</v>
      </c>
      <c r="O3" s="92"/>
      <c r="P3" s="92"/>
    </row>
    <row r="4" spans="2:16">
      <c r="D4" t="s">
        <v>1063</v>
      </c>
      <c r="G4" s="18" t="s">
        <v>1065</v>
      </c>
      <c r="M4" s="161">
        <v>50000</v>
      </c>
      <c r="O4" s="92"/>
    </row>
    <row r="5" spans="2:16">
      <c r="G5" s="18"/>
      <c r="M5" s="161">
        <v>50000</v>
      </c>
    </row>
    <row r="6" spans="2:16">
      <c r="G6" s="18" t="s">
        <v>962</v>
      </c>
      <c r="H6" s="142">
        <f>B15</f>
        <v>43674</v>
      </c>
      <c r="M6" s="161">
        <v>50000</v>
      </c>
    </row>
    <row r="7" spans="2:16">
      <c r="G7" s="24" t="s">
        <v>950</v>
      </c>
      <c r="M7" s="161">
        <v>50000</v>
      </c>
    </row>
    <row r="8" spans="2:16">
      <c r="G8" s="18"/>
      <c r="M8" s="161">
        <v>50000</v>
      </c>
    </row>
    <row r="9" spans="2:16">
      <c r="M9" s="161">
        <v>50000</v>
      </c>
    </row>
    <row r="10" spans="2:16">
      <c r="M10" s="161">
        <v>50000</v>
      </c>
    </row>
    <row r="11" spans="2:16">
      <c r="G11" s="18" t="s">
        <v>56</v>
      </c>
      <c r="M11" s="161">
        <v>50000</v>
      </c>
    </row>
    <row r="12" spans="2:16">
      <c r="M12" s="161">
        <v>50000</v>
      </c>
    </row>
    <row r="13" spans="2:16">
      <c r="M13" s="161">
        <v>50000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61">
        <v>50000</v>
      </c>
    </row>
    <row r="15" spans="2:16" ht="15" customHeight="1">
      <c r="B15" s="554">
        <v>43674</v>
      </c>
      <c r="D15" t="s">
        <v>59</v>
      </c>
      <c r="F15" s="21">
        <v>500000</v>
      </c>
      <c r="G15" s="22"/>
      <c r="H15" s="21">
        <f>F15-G15</f>
        <v>500000</v>
      </c>
      <c r="M15" s="161">
        <v>50000</v>
      </c>
    </row>
    <row r="16" spans="2:16" ht="15" customHeight="1">
      <c r="B16" s="554">
        <v>43674</v>
      </c>
      <c r="D16" t="s">
        <v>917</v>
      </c>
      <c r="F16" s="21">
        <v>50000</v>
      </c>
      <c r="H16" s="21">
        <f t="shared" ref="H16:H30" si="0">H15+F16-G16</f>
        <v>550000</v>
      </c>
      <c r="M16" s="161">
        <v>50000</v>
      </c>
    </row>
    <row r="17" spans="2:13" ht="15" customHeight="1">
      <c r="B17" s="554">
        <v>43679</v>
      </c>
      <c r="D17" t="s">
        <v>917</v>
      </c>
      <c r="F17" s="21">
        <v>50000</v>
      </c>
      <c r="H17" s="21">
        <f t="shared" si="0"/>
        <v>600000</v>
      </c>
      <c r="M17" s="161">
        <v>50000</v>
      </c>
    </row>
    <row r="18" spans="2:13" ht="15" customHeight="1">
      <c r="B18" s="554">
        <v>43722</v>
      </c>
      <c r="D18" t="s">
        <v>917</v>
      </c>
      <c r="F18" s="21">
        <v>50000</v>
      </c>
      <c r="H18" s="21">
        <f t="shared" si="0"/>
        <v>650000</v>
      </c>
      <c r="M18" s="161">
        <v>50000</v>
      </c>
    </row>
    <row r="19" spans="2:13" ht="15" customHeight="1">
      <c r="B19" s="554">
        <v>43743</v>
      </c>
      <c r="D19" t="s">
        <v>917</v>
      </c>
      <c r="F19" s="21">
        <v>50000</v>
      </c>
      <c r="H19" s="21">
        <f t="shared" si="0"/>
        <v>700000</v>
      </c>
    </row>
    <row r="20" spans="2:13" ht="15" customHeight="1">
      <c r="B20" s="554">
        <v>43778</v>
      </c>
      <c r="D20" t="s">
        <v>917</v>
      </c>
      <c r="F20" s="21">
        <v>50000</v>
      </c>
      <c r="H20" s="21">
        <f t="shared" si="0"/>
        <v>750000</v>
      </c>
    </row>
    <row r="21" spans="2:13" ht="15" customHeight="1">
      <c r="B21" s="143">
        <v>43804</v>
      </c>
      <c r="C21" s="144"/>
      <c r="D21" s="145" t="s">
        <v>917</v>
      </c>
      <c r="F21" s="23">
        <v>50000</v>
      </c>
      <c r="H21" s="21">
        <f t="shared" si="0"/>
        <v>800000</v>
      </c>
    </row>
    <row r="22" spans="2:13" ht="15" customHeight="1">
      <c r="B22" s="143">
        <v>43834</v>
      </c>
      <c r="D22" s="145" t="s">
        <v>917</v>
      </c>
      <c r="F22" s="23">
        <v>50000</v>
      </c>
      <c r="H22" s="21">
        <f t="shared" si="0"/>
        <v>850000</v>
      </c>
    </row>
    <row r="23" spans="2:13" ht="15" customHeight="1">
      <c r="B23" s="143">
        <v>43877</v>
      </c>
      <c r="D23" s="145" t="s">
        <v>917</v>
      </c>
      <c r="F23" s="23">
        <v>50000</v>
      </c>
      <c r="H23" s="21">
        <f t="shared" si="0"/>
        <v>900000</v>
      </c>
    </row>
    <row r="24" spans="2:13" ht="15" customHeight="1">
      <c r="B24" s="54">
        <v>43892</v>
      </c>
      <c r="D24" s="145" t="s">
        <v>917</v>
      </c>
      <c r="F24" s="23">
        <v>50000</v>
      </c>
      <c r="H24" s="21">
        <f t="shared" si="0"/>
        <v>950000</v>
      </c>
    </row>
    <row r="25" spans="2:13" ht="15" customHeight="1">
      <c r="B25" s="554">
        <v>43925</v>
      </c>
      <c r="D25" s="145" t="s">
        <v>917</v>
      </c>
      <c r="F25" s="23">
        <v>50000</v>
      </c>
      <c r="H25" s="21">
        <f t="shared" si="0"/>
        <v>1000000</v>
      </c>
    </row>
    <row r="26" spans="2:13" ht="15" customHeight="1">
      <c r="B26" s="554">
        <v>43954</v>
      </c>
      <c r="D26" s="145" t="s">
        <v>917</v>
      </c>
      <c r="F26" s="23">
        <v>50000</v>
      </c>
      <c r="H26" s="21">
        <f t="shared" si="0"/>
        <v>1050000</v>
      </c>
    </row>
    <row r="27" spans="2:13" ht="15" customHeight="1">
      <c r="B27" s="554">
        <v>43987</v>
      </c>
      <c r="D27" s="145" t="s">
        <v>917</v>
      </c>
      <c r="F27" s="23">
        <v>50000</v>
      </c>
      <c r="H27" s="21">
        <f t="shared" si="0"/>
        <v>1100000</v>
      </c>
    </row>
    <row r="28" spans="2:13" ht="15" customHeight="1">
      <c r="B28" s="554">
        <v>44018</v>
      </c>
      <c r="D28" s="145" t="s">
        <v>917</v>
      </c>
      <c r="F28" s="21">
        <v>50000</v>
      </c>
      <c r="H28" s="21">
        <f t="shared" si="0"/>
        <v>1150000</v>
      </c>
    </row>
    <row r="29" spans="2:13" ht="15" customHeight="1">
      <c r="B29" s="554">
        <v>44052</v>
      </c>
      <c r="D29" s="145" t="s">
        <v>917</v>
      </c>
      <c r="F29" s="21">
        <v>50000</v>
      </c>
      <c r="H29" s="21">
        <f t="shared" si="0"/>
        <v>1200000</v>
      </c>
    </row>
    <row r="30" spans="2:13" ht="15" customHeight="1">
      <c r="B30" s="554">
        <v>44080</v>
      </c>
      <c r="D30" s="145" t="s">
        <v>917</v>
      </c>
      <c r="F30" s="21">
        <v>50000</v>
      </c>
      <c r="H30" s="21">
        <f t="shared" si="0"/>
        <v>1250000</v>
      </c>
    </row>
    <row r="31" spans="2:13" ht="15" customHeight="1">
      <c r="B31" s="554">
        <v>44114</v>
      </c>
      <c r="D31" s="145" t="s">
        <v>917</v>
      </c>
      <c r="F31" s="21">
        <v>50000</v>
      </c>
    </row>
    <row r="32" spans="2:13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1300000</v>
      </c>
      <c r="G50" s="53">
        <f>SUM(G15:G49)</f>
        <v>0</v>
      </c>
      <c r="H50" s="77">
        <f>F50-G50</f>
        <v>1300000</v>
      </c>
      <c r="L50" s="92">
        <f>SUM(L3:L11)</f>
        <v>500000</v>
      </c>
      <c r="M50" s="161">
        <f>SUM(M3:M36)</f>
        <v>800000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1300000</v>
      </c>
    </row>
  </sheetData>
  <mergeCells count="1">
    <mergeCell ref="L1:P1"/>
  </mergeCells>
  <pageMargins left="0.7" right="0.7" top="0.75" bottom="0.75" header="0.3" footer="0.3"/>
  <pageSetup paperSize="9"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B1:P51"/>
  <sheetViews>
    <sheetView topLeftCell="A16" workbookViewId="0">
      <selection activeCell="J29" sqref="J29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8.1406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1066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220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t="s">
        <v>1067</v>
      </c>
      <c r="G3" s="18" t="s">
        <v>61</v>
      </c>
      <c r="H3" s="311" t="s">
        <v>1122</v>
      </c>
      <c r="L3" s="92">
        <f>F15</f>
        <v>500000</v>
      </c>
      <c r="M3" s="161">
        <v>50000</v>
      </c>
      <c r="O3" s="92"/>
      <c r="P3" s="92"/>
    </row>
    <row r="4" spans="2:16">
      <c r="D4" t="s">
        <v>1063</v>
      </c>
      <c r="G4" s="18" t="s">
        <v>379</v>
      </c>
      <c r="M4" s="161">
        <v>50000</v>
      </c>
      <c r="O4" s="92"/>
    </row>
    <row r="5" spans="2:16">
      <c r="G5" s="18"/>
      <c r="M5" s="161">
        <v>50000</v>
      </c>
    </row>
    <row r="6" spans="2:16">
      <c r="G6" s="18" t="s">
        <v>962</v>
      </c>
      <c r="H6" s="142">
        <f>B15</f>
        <v>43682</v>
      </c>
      <c r="M6" s="161">
        <v>50000</v>
      </c>
    </row>
    <row r="7" spans="2:16">
      <c r="G7" s="24" t="s">
        <v>950</v>
      </c>
      <c r="M7" s="161">
        <v>50000</v>
      </c>
    </row>
    <row r="8" spans="2:16">
      <c r="G8" s="18"/>
      <c r="M8" s="161">
        <v>50000</v>
      </c>
    </row>
    <row r="9" spans="2:16">
      <c r="M9" s="161">
        <v>50000</v>
      </c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43682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43682</v>
      </c>
      <c r="D16" t="s">
        <v>917</v>
      </c>
      <c r="F16" s="21">
        <v>50000</v>
      </c>
      <c r="H16" s="21">
        <f t="shared" ref="H16:H22" si="0">H15+F16-G16</f>
        <v>550000</v>
      </c>
    </row>
    <row r="17" spans="2:8" ht="15" customHeight="1">
      <c r="B17" s="554">
        <v>43711</v>
      </c>
      <c r="D17" t="s">
        <v>917</v>
      </c>
      <c r="F17" s="21">
        <v>50000</v>
      </c>
      <c r="H17" s="21">
        <f t="shared" si="0"/>
        <v>600000</v>
      </c>
    </row>
    <row r="18" spans="2:8" ht="15" customHeight="1">
      <c r="B18" s="554">
        <v>43762</v>
      </c>
      <c r="D18" t="s">
        <v>917</v>
      </c>
      <c r="F18" s="21">
        <v>50000</v>
      </c>
      <c r="H18" s="21">
        <f t="shared" si="0"/>
        <v>650000</v>
      </c>
    </row>
    <row r="19" spans="2:8" ht="15" customHeight="1">
      <c r="B19" s="554">
        <v>43790</v>
      </c>
      <c r="D19" t="s">
        <v>917</v>
      </c>
      <c r="F19" s="21">
        <v>50000</v>
      </c>
      <c r="H19" s="21">
        <f t="shared" si="0"/>
        <v>700000</v>
      </c>
    </row>
    <row r="20" spans="2:8" ht="15" customHeight="1">
      <c r="B20" s="554">
        <v>43809</v>
      </c>
      <c r="D20" t="s">
        <v>917</v>
      </c>
      <c r="F20" s="21">
        <v>50000</v>
      </c>
      <c r="H20" s="21">
        <f t="shared" si="0"/>
        <v>750000</v>
      </c>
    </row>
    <row r="21" spans="2:8" ht="15" customHeight="1">
      <c r="B21" s="143">
        <v>43853</v>
      </c>
      <c r="C21" s="144"/>
      <c r="D21" t="s">
        <v>917</v>
      </c>
      <c r="F21" s="21">
        <v>50000</v>
      </c>
      <c r="H21" s="21">
        <f t="shared" si="0"/>
        <v>800000</v>
      </c>
    </row>
    <row r="22" spans="2:8" ht="15" customHeight="1">
      <c r="B22" s="143">
        <v>43880</v>
      </c>
      <c r="D22" t="s">
        <v>917</v>
      </c>
      <c r="F22" s="21">
        <v>50000</v>
      </c>
      <c r="H22" s="21">
        <f t="shared" si="0"/>
        <v>850000</v>
      </c>
    </row>
    <row r="23" spans="2:8" ht="15" customHeight="1">
      <c r="B23" s="143"/>
      <c r="D23" s="157"/>
    </row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>
      <c r="D31" s="55"/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850000</v>
      </c>
      <c r="G50" s="53">
        <f>SUM(G15:G49)</f>
        <v>0</v>
      </c>
      <c r="H50" s="77">
        <f>F50-G50</f>
        <v>850000</v>
      </c>
      <c r="L50" s="92">
        <f>SUM(L3:L11)</f>
        <v>500000</v>
      </c>
      <c r="M50" s="161">
        <f>SUM(M3:M36)</f>
        <v>350000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850000</v>
      </c>
    </row>
  </sheetData>
  <mergeCells count="1">
    <mergeCell ref="L1:P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B1:P51"/>
  <sheetViews>
    <sheetView topLeftCell="A19" workbookViewId="0">
      <selection activeCell="H22" sqref="H22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8.1406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1073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220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t="s">
        <v>1074</v>
      </c>
      <c r="G3" s="18" t="s">
        <v>61</v>
      </c>
      <c r="H3" s="311" t="s">
        <v>1123</v>
      </c>
      <c r="L3" s="92">
        <f>F15</f>
        <v>500000</v>
      </c>
      <c r="M3" s="161">
        <v>50000</v>
      </c>
      <c r="O3" s="92"/>
      <c r="P3" s="92"/>
    </row>
    <row r="4" spans="2:16">
      <c r="D4" t="s">
        <v>52</v>
      </c>
      <c r="G4" s="18" t="s">
        <v>379</v>
      </c>
      <c r="O4" s="92"/>
    </row>
    <row r="5" spans="2:16">
      <c r="G5" s="18"/>
    </row>
    <row r="6" spans="2:16">
      <c r="G6" s="18" t="s">
        <v>962</v>
      </c>
      <c r="H6" s="142">
        <f>B15</f>
        <v>43682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43682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43682</v>
      </c>
      <c r="D16" t="s">
        <v>917</v>
      </c>
      <c r="F16" s="21">
        <v>50000</v>
      </c>
      <c r="H16" s="21">
        <f t="shared" ref="H16:H17" si="0">H15+F16-G16</f>
        <v>550000</v>
      </c>
    </row>
    <row r="17" spans="2:8" ht="15" customHeight="1">
      <c r="H17" s="21">
        <f t="shared" si="0"/>
        <v>550000</v>
      </c>
    </row>
    <row r="18" spans="2:8" ht="15" customHeight="1"/>
    <row r="19" spans="2:8" ht="15" customHeight="1"/>
    <row r="20" spans="2:8" ht="15" customHeight="1"/>
    <row r="21" spans="2:8" ht="15" customHeight="1">
      <c r="B21" s="143"/>
      <c r="C21" s="144"/>
      <c r="D21" s="145"/>
      <c r="F21" s="23"/>
    </row>
    <row r="22" spans="2:8" ht="15" customHeight="1">
      <c r="B22" s="143"/>
      <c r="D22" s="145"/>
    </row>
    <row r="23" spans="2:8" ht="15" customHeight="1">
      <c r="B23" s="143"/>
      <c r="D23" s="157"/>
    </row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>
      <c r="D31" s="55"/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550000</v>
      </c>
      <c r="G50" s="53">
        <f>SUM(G15:G49)</f>
        <v>0</v>
      </c>
      <c r="H50" s="77">
        <f>F50-G50</f>
        <v>550000</v>
      </c>
      <c r="L50" s="92">
        <f>SUM(L3:L11)</f>
        <v>500000</v>
      </c>
      <c r="M50" s="161">
        <f>SUM(M3:M36)</f>
        <v>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550000</v>
      </c>
    </row>
  </sheetData>
  <mergeCells count="1">
    <mergeCell ref="L1:P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B1:P51"/>
  <sheetViews>
    <sheetView topLeftCell="A22" workbookViewId="0">
      <selection sqref="A1:XFD1048576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8.1406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1081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222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t="s">
        <v>1082</v>
      </c>
      <c r="G3" s="18" t="s">
        <v>61</v>
      </c>
      <c r="H3" s="22"/>
      <c r="L3" s="92">
        <f>F15</f>
        <v>500000</v>
      </c>
      <c r="M3" s="161">
        <v>50000</v>
      </c>
      <c r="O3" s="92"/>
      <c r="P3" s="92"/>
    </row>
    <row r="4" spans="2:16">
      <c r="D4" t="s">
        <v>52</v>
      </c>
      <c r="G4" s="18" t="s">
        <v>379</v>
      </c>
      <c r="O4" s="92"/>
    </row>
    <row r="5" spans="2:16">
      <c r="G5" s="18"/>
    </row>
    <row r="6" spans="2:16">
      <c r="G6" s="18" t="s">
        <v>962</v>
      </c>
      <c r="H6" s="142">
        <f>B15</f>
        <v>43732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43732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43732</v>
      </c>
      <c r="D16" t="s">
        <v>917</v>
      </c>
      <c r="F16" s="21">
        <v>50000</v>
      </c>
      <c r="H16" s="21">
        <f t="shared" ref="H16:H17" si="0">H15+F16-G16</f>
        <v>550000</v>
      </c>
    </row>
    <row r="17" spans="2:8" ht="15" customHeight="1">
      <c r="H17" s="21">
        <f t="shared" si="0"/>
        <v>550000</v>
      </c>
    </row>
    <row r="18" spans="2:8" ht="15" customHeight="1"/>
    <row r="19" spans="2:8" ht="15" customHeight="1"/>
    <row r="20" spans="2:8" ht="15" customHeight="1"/>
    <row r="21" spans="2:8" ht="15" customHeight="1">
      <c r="B21" s="143"/>
      <c r="C21" s="144"/>
      <c r="D21" s="145"/>
      <c r="F21" s="23"/>
    </row>
    <row r="22" spans="2:8" ht="15" customHeight="1">
      <c r="B22" s="143"/>
      <c r="D22" s="145"/>
    </row>
    <row r="23" spans="2:8" ht="15" customHeight="1">
      <c r="B23" s="143"/>
      <c r="D23" s="157"/>
    </row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>
      <c r="D31" s="55"/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550000</v>
      </c>
      <c r="G50" s="53">
        <f>SUM(G15:G49)</f>
        <v>0</v>
      </c>
      <c r="H50" s="77">
        <f>F50-G50</f>
        <v>550000</v>
      </c>
      <c r="L50" s="92">
        <f>SUM(L3:L11)</f>
        <v>500000</v>
      </c>
      <c r="M50" s="161">
        <f>SUM(M3:M36)</f>
        <v>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550000</v>
      </c>
    </row>
  </sheetData>
  <mergeCells count="1">
    <mergeCell ref="L1:P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B1:P51"/>
  <sheetViews>
    <sheetView workbookViewId="0">
      <selection activeCell="H23" sqref="H23:H24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8.1406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1084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223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t="s">
        <v>1085</v>
      </c>
      <c r="G3" s="18" t="s">
        <v>61</v>
      </c>
      <c r="H3" s="311" t="s">
        <v>1121</v>
      </c>
      <c r="L3" s="92">
        <f>F15</f>
        <v>500000</v>
      </c>
      <c r="M3" s="161">
        <v>50000</v>
      </c>
      <c r="O3" s="92"/>
      <c r="P3" s="92"/>
    </row>
    <row r="4" spans="2:16">
      <c r="D4" t="s">
        <v>1086</v>
      </c>
      <c r="G4" s="18" t="s">
        <v>379</v>
      </c>
      <c r="M4" s="161">
        <v>50000</v>
      </c>
      <c r="O4" s="92"/>
    </row>
    <row r="5" spans="2:16">
      <c r="G5" s="18"/>
      <c r="M5" s="161">
        <v>50000</v>
      </c>
    </row>
    <row r="6" spans="2:16">
      <c r="G6" s="18" t="s">
        <v>962</v>
      </c>
      <c r="H6" s="142">
        <f>B15</f>
        <v>43783</v>
      </c>
      <c r="M6" s="161">
        <v>50000</v>
      </c>
    </row>
    <row r="7" spans="2:16">
      <c r="G7" s="24" t="s">
        <v>950</v>
      </c>
      <c r="M7" s="161">
        <v>50000</v>
      </c>
    </row>
    <row r="8" spans="2:16">
      <c r="G8" s="18"/>
      <c r="M8" s="161">
        <v>100000</v>
      </c>
    </row>
    <row r="9" spans="2:16">
      <c r="M9" s="161">
        <v>100000</v>
      </c>
    </row>
    <row r="10" spans="2:16">
      <c r="M10" s="161">
        <v>100000</v>
      </c>
    </row>
    <row r="11" spans="2:16">
      <c r="G11" s="18" t="s">
        <v>56</v>
      </c>
      <c r="M11" s="161">
        <v>100000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43783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43783</v>
      </c>
      <c r="D16" t="s">
        <v>917</v>
      </c>
      <c r="F16" s="21">
        <v>50000</v>
      </c>
      <c r="H16" s="21">
        <f t="shared" ref="H16:H24" si="0">H15+F16-G16</f>
        <v>550000</v>
      </c>
    </row>
    <row r="17" spans="2:8" ht="15" customHeight="1">
      <c r="B17" s="554">
        <v>43809</v>
      </c>
      <c r="D17" t="s">
        <v>917</v>
      </c>
      <c r="F17" s="21">
        <v>50000</v>
      </c>
      <c r="H17" s="21">
        <f t="shared" si="0"/>
        <v>600000</v>
      </c>
    </row>
    <row r="18" spans="2:8" ht="15" customHeight="1">
      <c r="B18" s="554">
        <v>43847</v>
      </c>
      <c r="D18" t="s">
        <v>917</v>
      </c>
      <c r="F18" s="21">
        <v>50000</v>
      </c>
      <c r="H18" s="21">
        <f t="shared" si="0"/>
        <v>650000</v>
      </c>
    </row>
    <row r="19" spans="2:8" ht="15" customHeight="1">
      <c r="B19" s="554">
        <v>43878</v>
      </c>
      <c r="D19" t="s">
        <v>917</v>
      </c>
      <c r="F19" s="21">
        <v>50000</v>
      </c>
      <c r="H19" s="21">
        <f t="shared" si="0"/>
        <v>700000</v>
      </c>
    </row>
    <row r="20" spans="2:8" ht="15" customHeight="1">
      <c r="B20" s="554">
        <v>43907</v>
      </c>
      <c r="D20" t="s">
        <v>917</v>
      </c>
      <c r="F20" s="21">
        <v>50000</v>
      </c>
      <c r="H20" s="21">
        <f t="shared" si="0"/>
        <v>750000</v>
      </c>
    </row>
    <row r="21" spans="2:8" ht="15" customHeight="1">
      <c r="B21" s="143">
        <v>43964</v>
      </c>
      <c r="C21" s="144"/>
      <c r="D21" t="s">
        <v>917</v>
      </c>
      <c r="F21" s="21">
        <v>100000</v>
      </c>
      <c r="H21" s="21">
        <f t="shared" si="0"/>
        <v>850000</v>
      </c>
    </row>
    <row r="22" spans="2:8" ht="15" customHeight="1">
      <c r="B22" s="143">
        <v>44024</v>
      </c>
      <c r="D22" t="s">
        <v>917</v>
      </c>
      <c r="F22" s="21">
        <v>100000</v>
      </c>
      <c r="H22" s="21">
        <f t="shared" si="0"/>
        <v>950000</v>
      </c>
    </row>
    <row r="23" spans="2:8" ht="15" customHeight="1">
      <c r="B23" s="143">
        <v>44098</v>
      </c>
      <c r="D23" s="145" t="s">
        <v>917</v>
      </c>
      <c r="F23" s="21">
        <v>100000</v>
      </c>
      <c r="H23" s="21">
        <f t="shared" si="0"/>
        <v>1050000</v>
      </c>
    </row>
    <row r="24" spans="2:8" ht="15" customHeight="1">
      <c r="B24" s="554">
        <v>44141</v>
      </c>
      <c r="D24" s="145" t="s">
        <v>917</v>
      </c>
      <c r="F24" s="21">
        <v>100000</v>
      </c>
      <c r="H24" s="21">
        <f t="shared" si="0"/>
        <v>1150000</v>
      </c>
    </row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>
      <c r="D31" s="55"/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1150000</v>
      </c>
      <c r="G50" s="53">
        <f>SUM(G15:G49)</f>
        <v>0</v>
      </c>
      <c r="H50" s="77">
        <f>F50-G50</f>
        <v>1150000</v>
      </c>
      <c r="L50" s="92">
        <f>SUM(L3:L11)</f>
        <v>500000</v>
      </c>
      <c r="M50" s="161">
        <f>SUM(M3:M49)</f>
        <v>650000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1150000</v>
      </c>
    </row>
  </sheetData>
  <mergeCells count="1">
    <mergeCell ref="L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5">
    <tabColor rgb="FF00B0F0"/>
  </sheetPr>
  <dimension ref="B1:P59"/>
  <sheetViews>
    <sheetView topLeftCell="A16" zoomScale="80" zoomScaleNormal="80" workbookViewId="0">
      <selection activeCell="F39" sqref="F39"/>
    </sheetView>
  </sheetViews>
  <sheetFormatPr defaultRowHeight="12.75"/>
  <cols>
    <col min="1" max="1" width="0.5703125" customWidth="1"/>
    <col min="2" max="2" width="10.85546875" style="19" customWidth="1"/>
    <col min="3" max="3" width="1.5703125" customWidth="1"/>
    <col min="5" max="5" width="13" customWidth="1"/>
    <col min="6" max="7" width="10.85546875" style="21" customWidth="1"/>
    <col min="8" max="8" width="13" style="21" customWidth="1"/>
    <col min="9" max="9" width="5" customWidth="1"/>
    <col min="12" max="12" width="14.140625" style="30" customWidth="1"/>
    <col min="13" max="13" width="14.140625" style="156" customWidth="1"/>
    <col min="14" max="14" width="14.140625" style="30" customWidth="1"/>
    <col min="15" max="15" width="14.140625" style="161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45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74</v>
      </c>
      <c r="G2" s="18" t="s">
        <v>53</v>
      </c>
      <c r="L2" s="91" t="s">
        <v>338</v>
      </c>
      <c r="M2" s="155" t="s">
        <v>339</v>
      </c>
      <c r="N2" s="91" t="s">
        <v>340</v>
      </c>
      <c r="O2" s="290" t="s">
        <v>385</v>
      </c>
      <c r="P2" s="91" t="s">
        <v>341</v>
      </c>
    </row>
    <row r="3" spans="2:16">
      <c r="B3" s="19" t="s">
        <v>11</v>
      </c>
      <c r="C3" t="s">
        <v>3</v>
      </c>
      <c r="D3" s="23" t="str">
        <f>'DAFTAR ANGGT'!G22</f>
        <v xml:space="preserve">Ds. Rawadalem Rt. 08/03 Kec. Balongan </v>
      </c>
      <c r="G3" s="18" t="s">
        <v>61</v>
      </c>
      <c r="H3" s="18" t="str">
        <f>'DAFTAR ANGGT'!F22</f>
        <v>081395710740</v>
      </c>
      <c r="L3" s="92">
        <f>F15</f>
        <v>200000</v>
      </c>
      <c r="M3" s="156">
        <f>F16</f>
        <v>20000</v>
      </c>
      <c r="N3" s="92">
        <v>672200</v>
      </c>
      <c r="O3" s="161">
        <f>F22</f>
        <v>57155.973836403653</v>
      </c>
    </row>
    <row r="4" spans="2:16">
      <c r="D4" t="s">
        <v>52</v>
      </c>
      <c r="G4" s="18" t="s">
        <v>121</v>
      </c>
      <c r="L4" s="92">
        <v>100000</v>
      </c>
      <c r="M4" s="156">
        <f>F18</f>
        <v>50000</v>
      </c>
      <c r="N4" s="92"/>
      <c r="O4" s="161">
        <v>100166.33897171782</v>
      </c>
    </row>
    <row r="5" spans="2:16">
      <c r="G5" s="18"/>
      <c r="L5" s="92">
        <v>200000</v>
      </c>
      <c r="M5" s="156">
        <f>F17</f>
        <v>50000</v>
      </c>
      <c r="O5" s="161">
        <v>60300.558215604913</v>
      </c>
    </row>
    <row r="6" spans="2:16">
      <c r="G6" s="18" t="s">
        <v>122</v>
      </c>
      <c r="M6" s="156">
        <f>F21</f>
        <v>100000</v>
      </c>
      <c r="O6" s="161">
        <v>94751.950493612792</v>
      </c>
    </row>
    <row r="7" spans="2:16">
      <c r="G7" s="24" t="s">
        <v>55</v>
      </c>
      <c r="M7" s="156">
        <f>F23</f>
        <v>100000</v>
      </c>
      <c r="O7" s="161">
        <v>123720.61245597288</v>
      </c>
    </row>
    <row r="8" spans="2:16">
      <c r="G8" s="18"/>
      <c r="M8" s="156">
        <f>F24</f>
        <v>50000</v>
      </c>
      <c r="O8" s="161">
        <v>-200000</v>
      </c>
    </row>
    <row r="9" spans="2:16">
      <c r="M9" s="156">
        <f>F25</f>
        <v>100000</v>
      </c>
    </row>
    <row r="10" spans="2:16">
      <c r="M10" s="156">
        <v>50000</v>
      </c>
    </row>
    <row r="11" spans="2:16">
      <c r="G11" s="18" t="s">
        <v>56</v>
      </c>
      <c r="M11" s="156">
        <v>225000</v>
      </c>
    </row>
    <row r="12" spans="2:16">
      <c r="M12" s="156">
        <v>300000</v>
      </c>
    </row>
    <row r="13" spans="2:16">
      <c r="M13" s="156">
        <v>50000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200000</v>
      </c>
    </row>
    <row r="15" spans="2:16" ht="15" customHeight="1">
      <c r="B15" s="19">
        <v>40663</v>
      </c>
      <c r="D15" t="s">
        <v>59</v>
      </c>
      <c r="F15" s="21">
        <v>200000</v>
      </c>
      <c r="G15" s="22"/>
      <c r="H15" s="21">
        <f>F15-G15</f>
        <v>200000</v>
      </c>
      <c r="M15" s="156">
        <v>405000</v>
      </c>
    </row>
    <row r="16" spans="2:16" ht="15" customHeight="1">
      <c r="B16" s="19">
        <v>40663</v>
      </c>
      <c r="D16" t="s">
        <v>102</v>
      </c>
      <c r="F16" s="21">
        <v>20000</v>
      </c>
      <c r="H16" s="21">
        <f t="shared" ref="H16:H39" si="0">H15+F16-G16</f>
        <v>220000</v>
      </c>
    </row>
    <row r="17" spans="2:8" ht="15" customHeight="1">
      <c r="B17" s="19">
        <v>40732</v>
      </c>
      <c r="D17" t="s">
        <v>102</v>
      </c>
      <c r="F17" s="21">
        <v>50000</v>
      </c>
      <c r="H17" s="21">
        <f t="shared" si="0"/>
        <v>270000</v>
      </c>
    </row>
    <row r="18" spans="2:8" ht="15" customHeight="1">
      <c r="B18" s="19">
        <v>40766</v>
      </c>
      <c r="D18" t="s">
        <v>102</v>
      </c>
      <c r="F18" s="21">
        <v>50000</v>
      </c>
      <c r="H18" s="21">
        <f t="shared" si="0"/>
        <v>320000</v>
      </c>
    </row>
    <row r="19" spans="2:8" ht="15" customHeight="1">
      <c r="B19" s="19">
        <v>41035</v>
      </c>
      <c r="D19" t="s">
        <v>774</v>
      </c>
      <c r="F19" s="21">
        <v>100000</v>
      </c>
      <c r="H19" s="21">
        <f t="shared" si="0"/>
        <v>420000</v>
      </c>
    </row>
    <row r="20" spans="2:8" ht="15" customHeight="1">
      <c r="B20" s="19">
        <v>41116</v>
      </c>
      <c r="D20" t="s">
        <v>775</v>
      </c>
      <c r="F20" s="21">
        <v>200000</v>
      </c>
      <c r="H20" s="21">
        <f t="shared" si="0"/>
        <v>620000</v>
      </c>
    </row>
    <row r="21" spans="2:8" ht="15" customHeight="1">
      <c r="B21" s="19">
        <v>41260</v>
      </c>
      <c r="D21" t="s">
        <v>373</v>
      </c>
      <c r="F21" s="21">
        <v>100000</v>
      </c>
      <c r="H21" s="21">
        <f t="shared" si="0"/>
        <v>720000</v>
      </c>
    </row>
    <row r="22" spans="2:8" ht="15" customHeight="1">
      <c r="B22" s="19">
        <v>41274</v>
      </c>
      <c r="D22" t="s">
        <v>392</v>
      </c>
      <c r="F22" s="487">
        <v>57155.973836403653</v>
      </c>
      <c r="H22" s="21">
        <f t="shared" si="0"/>
        <v>777155.97383640369</v>
      </c>
    </row>
    <row r="23" spans="2:8" ht="15" customHeight="1">
      <c r="B23" s="19">
        <v>41434</v>
      </c>
      <c r="D23" t="s">
        <v>442</v>
      </c>
      <c r="F23" s="21">
        <v>100000</v>
      </c>
      <c r="H23" s="21">
        <f t="shared" si="0"/>
        <v>877155.97383640369</v>
      </c>
    </row>
    <row r="24" spans="2:8" ht="15" customHeight="1">
      <c r="B24" s="19">
        <v>41511</v>
      </c>
      <c r="D24" t="s">
        <v>469</v>
      </c>
      <c r="F24" s="21">
        <v>50000</v>
      </c>
      <c r="H24" s="21">
        <f t="shared" si="0"/>
        <v>927155.97383640369</v>
      </c>
    </row>
    <row r="25" spans="2:8" ht="15" customHeight="1">
      <c r="B25" s="19">
        <v>41568</v>
      </c>
      <c r="D25" t="s">
        <v>484</v>
      </c>
      <c r="F25" s="21">
        <v>100000</v>
      </c>
      <c r="H25" s="21">
        <f t="shared" si="0"/>
        <v>1027155.9738364037</v>
      </c>
    </row>
    <row r="26" spans="2:8" ht="15" customHeight="1">
      <c r="B26" s="19">
        <v>41640</v>
      </c>
      <c r="D26" t="s">
        <v>499</v>
      </c>
      <c r="F26" s="488">
        <v>100166.33897171782</v>
      </c>
      <c r="G26" s="488"/>
      <c r="H26" s="21">
        <f t="shared" si="0"/>
        <v>1127322.3128081216</v>
      </c>
    </row>
    <row r="27" spans="2:8" ht="15" customHeight="1">
      <c r="B27" s="19">
        <v>41640</v>
      </c>
      <c r="D27" t="s">
        <v>503</v>
      </c>
      <c r="F27" s="488"/>
      <c r="G27" s="488">
        <v>100000</v>
      </c>
      <c r="H27" s="21">
        <f t="shared" si="0"/>
        <v>1027322.3128081216</v>
      </c>
    </row>
    <row r="28" spans="2:8" ht="15" customHeight="1">
      <c r="B28" s="19">
        <v>41640</v>
      </c>
      <c r="D28" t="s">
        <v>282</v>
      </c>
      <c r="F28" s="488">
        <v>100000</v>
      </c>
      <c r="G28" s="488"/>
      <c r="H28" s="21">
        <f t="shared" si="0"/>
        <v>1127322.3128081216</v>
      </c>
    </row>
    <row r="29" spans="2:8" ht="15" customHeight="1">
      <c r="B29" s="19">
        <v>41644</v>
      </c>
      <c r="D29" t="s">
        <v>508</v>
      </c>
      <c r="F29" s="21">
        <v>50000</v>
      </c>
      <c r="H29" s="21">
        <f t="shared" si="0"/>
        <v>1177322.3128081216</v>
      </c>
    </row>
    <row r="30" spans="2:8" ht="15" customHeight="1">
      <c r="B30" s="336">
        <v>42004</v>
      </c>
      <c r="D30" s="55" t="s">
        <v>592</v>
      </c>
      <c r="F30" s="21">
        <v>60300.558215604913</v>
      </c>
      <c r="H30" s="21">
        <f t="shared" si="0"/>
        <v>1237622.8710237264</v>
      </c>
    </row>
    <row r="31" spans="2:8" ht="15" customHeight="1">
      <c r="B31" s="19">
        <v>42362</v>
      </c>
      <c r="D31" s="55" t="s">
        <v>679</v>
      </c>
      <c r="F31" s="21">
        <v>225000</v>
      </c>
      <c r="H31" s="21">
        <f t="shared" si="0"/>
        <v>1462622.8710237264</v>
      </c>
    </row>
    <row r="32" spans="2:8" ht="15" customHeight="1">
      <c r="B32" s="19">
        <v>42362</v>
      </c>
      <c r="D32" s="55" t="s">
        <v>680</v>
      </c>
      <c r="F32" s="21">
        <v>300000</v>
      </c>
      <c r="H32" s="21">
        <f t="shared" si="0"/>
        <v>1762622.8710237264</v>
      </c>
    </row>
    <row r="33" spans="2:8" ht="15" customHeight="1">
      <c r="B33" s="19">
        <v>42362</v>
      </c>
      <c r="D33" s="55" t="s">
        <v>282</v>
      </c>
      <c r="F33" s="21">
        <v>672200</v>
      </c>
      <c r="H33" s="21">
        <f t="shared" si="0"/>
        <v>2434822.8710237266</v>
      </c>
    </row>
    <row r="34" spans="2:8" ht="15" customHeight="1">
      <c r="B34" s="19">
        <v>42369</v>
      </c>
      <c r="D34" s="55" t="s">
        <v>694</v>
      </c>
      <c r="F34" s="21">
        <v>94751.950493612792</v>
      </c>
      <c r="H34" s="21">
        <f t="shared" si="0"/>
        <v>2529574.8215173394</v>
      </c>
    </row>
    <row r="35" spans="2:8" ht="15" customHeight="1">
      <c r="B35" s="19">
        <v>42735</v>
      </c>
      <c r="D35" s="55" t="s">
        <v>732</v>
      </c>
      <c r="F35" s="21">
        <v>123720.61245597288</v>
      </c>
      <c r="H35" s="21">
        <f t="shared" si="0"/>
        <v>2653295.4339733124</v>
      </c>
    </row>
    <row r="36" spans="2:8" ht="15" customHeight="1">
      <c r="B36" s="19">
        <v>42917</v>
      </c>
      <c r="D36" s="55" t="s">
        <v>772</v>
      </c>
      <c r="G36" s="21">
        <v>200000</v>
      </c>
      <c r="H36" s="21">
        <f t="shared" si="0"/>
        <v>2453295.4339733124</v>
      </c>
    </row>
    <row r="37" spans="2:8" ht="15" customHeight="1">
      <c r="B37" s="19">
        <v>43043</v>
      </c>
      <c r="D37" s="55" t="s">
        <v>821</v>
      </c>
      <c r="F37" s="21">
        <v>50000</v>
      </c>
      <c r="H37" s="21">
        <f t="shared" si="0"/>
        <v>2503295.4339733124</v>
      </c>
    </row>
    <row r="38" spans="2:8" ht="15" customHeight="1">
      <c r="B38" s="19">
        <v>43150</v>
      </c>
      <c r="D38" s="55" t="s">
        <v>866</v>
      </c>
      <c r="F38" s="21">
        <v>200000</v>
      </c>
      <c r="H38" s="21">
        <f t="shared" si="0"/>
        <v>2703295.4339733124</v>
      </c>
    </row>
    <row r="39" spans="2:8" ht="15" customHeight="1">
      <c r="B39" s="19">
        <v>43900</v>
      </c>
      <c r="D39" t="s">
        <v>1128</v>
      </c>
      <c r="E39" t="s">
        <v>1126</v>
      </c>
      <c r="F39" s="21">
        <v>405000</v>
      </c>
      <c r="H39" s="21">
        <f t="shared" si="0"/>
        <v>3108295.4339733124</v>
      </c>
    </row>
    <row r="40" spans="2:8" ht="15" customHeight="1"/>
    <row r="41" spans="2:8" ht="15" customHeight="1"/>
    <row r="42" spans="2:8" ht="15" customHeight="1"/>
    <row r="43" spans="2:8" ht="15" customHeight="1"/>
    <row r="44" spans="2:8" ht="15" customHeight="1"/>
    <row r="45" spans="2:8" ht="15" customHeight="1"/>
    <row r="46" spans="2:8" ht="15" customHeight="1"/>
    <row r="51" spans="4:16" ht="15" customHeight="1">
      <c r="D51" s="76" t="s">
        <v>307</v>
      </c>
      <c r="E51" s="48"/>
      <c r="F51" s="53">
        <f>SUM(F15:F50)</f>
        <v>3408295.4339733124</v>
      </c>
      <c r="G51" s="53">
        <f>SUM(G15:G50)</f>
        <v>300000</v>
      </c>
      <c r="H51" s="77">
        <f>F51-G51</f>
        <v>3108295.4339733124</v>
      </c>
      <c r="L51" s="92">
        <f>SUM(L3:L11)</f>
        <v>500000</v>
      </c>
      <c r="M51" s="156">
        <f>SUM(M3:M28)</f>
        <v>1700000</v>
      </c>
      <c r="N51" s="92">
        <f>SUM(N3:N11)</f>
        <v>672200</v>
      </c>
      <c r="O51" s="161">
        <f>SUM(O3:O11)</f>
        <v>236095.43397331209</v>
      </c>
      <c r="P51" s="92">
        <f>SUM(P3:P11)</f>
        <v>0</v>
      </c>
    </row>
    <row r="52" spans="4:16">
      <c r="P52" s="92">
        <f>SUM(L51:P51)</f>
        <v>3108295.4339733119</v>
      </c>
    </row>
    <row r="54" spans="4:16">
      <c r="L54" s="156">
        <v>1000000</v>
      </c>
    </row>
    <row r="55" spans="4:16">
      <c r="L55" s="156">
        <v>197200</v>
      </c>
    </row>
    <row r="56" spans="4:16">
      <c r="L56" s="327">
        <f>SUM(L54:L55)</f>
        <v>1197200</v>
      </c>
    </row>
    <row r="57" spans="4:16">
      <c r="L57" s="92">
        <f>SUM(F31:F32)</f>
        <v>525000</v>
      </c>
    </row>
    <row r="58" spans="4:16">
      <c r="L58" s="328">
        <f>L56-L57</f>
        <v>672200</v>
      </c>
    </row>
    <row r="59" spans="4:16">
      <c r="L59" s="92">
        <f>SUM(L57:L58)</f>
        <v>1197200</v>
      </c>
    </row>
  </sheetData>
  <mergeCells count="1">
    <mergeCell ref="L1:P1"/>
  </mergeCells>
  <phoneticPr fontId="7" type="noConversion"/>
  <pageMargins left="0.25" right="0.75" top="0.52" bottom="1" header="0.25" footer="0.5"/>
  <pageSetup orientation="landscape" horizontalDpi="4294967293" verticalDpi="0" r:id="rId1"/>
  <headerFooter alignWithMargins="0"/>
  <legacyDrawing r:id="rId2"/>
  <oleObjects>
    <oleObject progId="CorelDRAW.Graphic.11" shapeId="19457" r:id="rId3"/>
    <oleObject progId="CorelDRAW.Graphic.11" shapeId="19458" r:id="rId4"/>
  </oleObjects>
</worksheet>
</file>

<file path=xl/worksheets/sheet70.xml><?xml version="1.0" encoding="utf-8"?>
<worksheet xmlns="http://schemas.openxmlformats.org/spreadsheetml/2006/main" xmlns:r="http://schemas.openxmlformats.org/officeDocument/2006/relationships">
  <dimension ref="B1:P51"/>
  <sheetViews>
    <sheetView workbookViewId="0">
      <selection activeCell="H19" sqref="H19:H20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4" max="4" width="12.42578125" customWidth="1"/>
    <col min="5" max="5" width="8.1406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1090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224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s="55" t="s">
        <v>1091</v>
      </c>
      <c r="G3" s="18" t="s">
        <v>61</v>
      </c>
      <c r="H3" s="311" t="s">
        <v>1092</v>
      </c>
      <c r="L3" s="92">
        <f>F15</f>
        <v>500000</v>
      </c>
      <c r="M3" s="161">
        <v>50000</v>
      </c>
      <c r="O3" s="92"/>
      <c r="P3" s="92"/>
    </row>
    <row r="4" spans="2:16">
      <c r="D4" t="s">
        <v>1086</v>
      </c>
      <c r="G4" s="18" t="s">
        <v>379</v>
      </c>
      <c r="M4" s="161">
        <v>100000</v>
      </c>
      <c r="O4" s="92"/>
    </row>
    <row r="5" spans="2:16">
      <c r="G5" s="18"/>
      <c r="M5" s="161">
        <v>100000</v>
      </c>
    </row>
    <row r="6" spans="2:16">
      <c r="G6" s="18" t="s">
        <v>962</v>
      </c>
      <c r="H6" s="142">
        <f>B15</f>
        <v>43822</v>
      </c>
      <c r="M6" s="161">
        <v>200000</v>
      </c>
    </row>
    <row r="7" spans="2:16">
      <c r="G7" s="24" t="s">
        <v>950</v>
      </c>
      <c r="M7" s="161">
        <v>200000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43822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43822</v>
      </c>
      <c r="D16" t="s">
        <v>917</v>
      </c>
      <c r="F16" s="21">
        <v>50000</v>
      </c>
      <c r="H16" s="21">
        <f t="shared" ref="H16:H20" si="0">H15+F16-G16</f>
        <v>550000</v>
      </c>
    </row>
    <row r="17" spans="2:8" ht="15" customHeight="1">
      <c r="B17" s="554">
        <v>43841</v>
      </c>
      <c r="D17" t="s">
        <v>917</v>
      </c>
      <c r="E17" t="s">
        <v>1107</v>
      </c>
      <c r="F17" s="21">
        <v>100000</v>
      </c>
      <c r="H17" s="21">
        <f t="shared" si="0"/>
        <v>650000</v>
      </c>
    </row>
    <row r="18" spans="2:8" ht="15" customHeight="1">
      <c r="B18" s="554">
        <v>43894</v>
      </c>
      <c r="D18" t="s">
        <v>917</v>
      </c>
      <c r="E18" t="s">
        <v>1107</v>
      </c>
      <c r="F18" s="21">
        <v>100000</v>
      </c>
      <c r="H18" s="21">
        <f t="shared" si="0"/>
        <v>750000</v>
      </c>
    </row>
    <row r="19" spans="2:8" ht="15" customHeight="1">
      <c r="B19" s="554">
        <v>43953</v>
      </c>
      <c r="D19" t="s">
        <v>917</v>
      </c>
      <c r="E19" t="s">
        <v>1107</v>
      </c>
      <c r="F19" s="21">
        <v>200000</v>
      </c>
      <c r="H19" s="21">
        <f t="shared" si="0"/>
        <v>950000</v>
      </c>
    </row>
    <row r="20" spans="2:8" ht="15" customHeight="1">
      <c r="B20" s="554">
        <v>44080</v>
      </c>
      <c r="D20" t="s">
        <v>917</v>
      </c>
      <c r="E20" t="s">
        <v>1107</v>
      </c>
      <c r="F20" s="21">
        <v>200000</v>
      </c>
      <c r="H20" s="21">
        <f t="shared" si="0"/>
        <v>1150000</v>
      </c>
    </row>
    <row r="21" spans="2:8" ht="15" customHeight="1">
      <c r="B21" s="143"/>
      <c r="C21" s="144"/>
      <c r="D21" s="145"/>
      <c r="F21" s="23"/>
    </row>
    <row r="22" spans="2:8" ht="15" customHeight="1">
      <c r="B22" s="143"/>
      <c r="D22" s="145"/>
    </row>
    <row r="23" spans="2:8" ht="15" customHeight="1">
      <c r="B23" s="143"/>
      <c r="D23" s="157"/>
    </row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>
      <c r="D31" s="55"/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1150000</v>
      </c>
      <c r="G50" s="53">
        <f>SUM(G15:G49)</f>
        <v>0</v>
      </c>
      <c r="H50" s="77">
        <f>F50-G50</f>
        <v>1150000</v>
      </c>
      <c r="L50" s="92">
        <f>SUM(L3:L11)</f>
        <v>500000</v>
      </c>
      <c r="M50" s="161">
        <f>SUM(M3:M36)</f>
        <v>650000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1150000</v>
      </c>
    </row>
  </sheetData>
  <mergeCells count="1">
    <mergeCell ref="L1:P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B1:P51"/>
  <sheetViews>
    <sheetView workbookViewId="0">
      <selection activeCell="M6" sqref="M6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14.57031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1093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225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s="55" t="s">
        <v>1094</v>
      </c>
      <c r="G3" s="18" t="s">
        <v>61</v>
      </c>
      <c r="H3" s="311" t="s">
        <v>1095</v>
      </c>
      <c r="L3" s="92">
        <f>F15</f>
        <v>500000</v>
      </c>
      <c r="M3" s="161">
        <v>50000</v>
      </c>
      <c r="O3" s="92"/>
      <c r="P3" s="92"/>
    </row>
    <row r="4" spans="2:16">
      <c r="D4" t="s">
        <v>1086</v>
      </c>
      <c r="G4" s="18" t="s">
        <v>379</v>
      </c>
      <c r="M4" s="161">
        <v>250000</v>
      </c>
      <c r="O4" s="92"/>
    </row>
    <row r="5" spans="2:16">
      <c r="G5" s="18"/>
      <c r="M5" s="161">
        <v>350000</v>
      </c>
    </row>
    <row r="6" spans="2:16">
      <c r="G6" s="18" t="s">
        <v>962</v>
      </c>
      <c r="H6" s="142">
        <f>B15</f>
        <v>43822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43822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43822</v>
      </c>
      <c r="D16" t="s">
        <v>917</v>
      </c>
      <c r="F16" s="21">
        <v>50000</v>
      </c>
      <c r="H16" s="21">
        <f t="shared" ref="H16:H18" si="0">H15+F16-G16</f>
        <v>550000</v>
      </c>
    </row>
    <row r="17" spans="2:8" ht="15" customHeight="1">
      <c r="B17" s="554">
        <v>43911</v>
      </c>
      <c r="D17" t="s">
        <v>1117</v>
      </c>
      <c r="F17" s="21">
        <v>250000</v>
      </c>
      <c r="H17" s="21">
        <f t="shared" si="0"/>
        <v>800000</v>
      </c>
    </row>
    <row r="18" spans="2:8" ht="15" customHeight="1">
      <c r="B18" s="554">
        <v>43990</v>
      </c>
      <c r="D18" t="s">
        <v>1146</v>
      </c>
      <c r="F18" s="21">
        <v>350000</v>
      </c>
      <c r="H18" s="21">
        <f t="shared" si="0"/>
        <v>1150000</v>
      </c>
    </row>
    <row r="19" spans="2:8" ht="15" customHeight="1"/>
    <row r="20" spans="2:8" ht="15" customHeight="1"/>
    <row r="21" spans="2:8" ht="15" customHeight="1">
      <c r="B21" s="143"/>
      <c r="C21" s="144"/>
      <c r="D21" s="145"/>
      <c r="F21" s="23"/>
    </row>
    <row r="22" spans="2:8" ht="15" customHeight="1">
      <c r="B22" s="143"/>
      <c r="D22" s="145"/>
    </row>
    <row r="23" spans="2:8" ht="15" customHeight="1">
      <c r="B23" s="143"/>
      <c r="D23" s="157"/>
    </row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>
      <c r="D31" s="55"/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1150000</v>
      </c>
      <c r="G50" s="53">
        <f>SUM(G15:G49)</f>
        <v>0</v>
      </c>
      <c r="H50" s="77">
        <f>F50-G50</f>
        <v>1150000</v>
      </c>
      <c r="L50" s="92">
        <f>SUM(L3:L11)</f>
        <v>500000</v>
      </c>
      <c r="M50" s="161">
        <f>SUM(M3:M36)</f>
        <v>650000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1150000</v>
      </c>
    </row>
  </sheetData>
  <mergeCells count="1">
    <mergeCell ref="L1:P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B1:P51"/>
  <sheetViews>
    <sheetView workbookViewId="0">
      <selection activeCell="H17" sqref="H17:H18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14.57031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4" width="14.140625" style="156" customWidth="1"/>
    <col min="15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1118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226</v>
      </c>
      <c r="G2" s="18" t="s">
        <v>53</v>
      </c>
      <c r="L2" s="91" t="s">
        <v>338</v>
      </c>
      <c r="M2" s="290" t="s">
        <v>339</v>
      </c>
      <c r="N2" s="155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s="55" t="s">
        <v>1119</v>
      </c>
      <c r="G3" s="18" t="s">
        <v>61</v>
      </c>
      <c r="H3" s="311" t="s">
        <v>1120</v>
      </c>
      <c r="L3" s="92">
        <f>F15</f>
        <v>500000</v>
      </c>
      <c r="M3" s="161">
        <v>50000</v>
      </c>
      <c r="O3" s="92"/>
      <c r="P3" s="92"/>
    </row>
    <row r="4" spans="2:16">
      <c r="D4" s="55" t="s">
        <v>52</v>
      </c>
      <c r="G4" s="18" t="s">
        <v>379</v>
      </c>
      <c r="M4" s="161">
        <v>50000</v>
      </c>
      <c r="N4" s="156">
        <v>150000</v>
      </c>
      <c r="O4" s="92"/>
    </row>
    <row r="5" spans="2:16">
      <c r="G5" s="18"/>
      <c r="M5" s="161">
        <v>200000</v>
      </c>
    </row>
    <row r="6" spans="2:16">
      <c r="G6" s="18" t="s">
        <v>962</v>
      </c>
      <c r="H6" s="142">
        <f>B15</f>
        <v>43930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43930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43930</v>
      </c>
      <c r="D16" t="s">
        <v>917</v>
      </c>
      <c r="F16" s="21">
        <v>50000</v>
      </c>
      <c r="H16" s="21">
        <f t="shared" ref="H16:H18" si="0">H15+F16-G16</f>
        <v>550000</v>
      </c>
    </row>
    <row r="17" spans="2:8" ht="15" customHeight="1">
      <c r="B17" s="554">
        <v>43963</v>
      </c>
      <c r="D17" t="s">
        <v>1136</v>
      </c>
      <c r="F17" s="21">
        <v>200000</v>
      </c>
      <c r="H17" s="21">
        <f t="shared" si="0"/>
        <v>750000</v>
      </c>
    </row>
    <row r="18" spans="2:8" ht="15" customHeight="1">
      <c r="B18" s="554">
        <v>44111</v>
      </c>
      <c r="D18" t="s">
        <v>993</v>
      </c>
      <c r="F18" s="21">
        <v>200000</v>
      </c>
      <c r="H18" s="21">
        <f t="shared" si="0"/>
        <v>950000</v>
      </c>
    </row>
    <row r="19" spans="2:8" ht="15" customHeight="1"/>
    <row r="20" spans="2:8" ht="15" customHeight="1"/>
    <row r="21" spans="2:8" ht="15" customHeight="1">
      <c r="B21" s="143"/>
      <c r="C21" s="144"/>
      <c r="D21" s="145"/>
      <c r="F21" s="23"/>
    </row>
    <row r="22" spans="2:8" ht="15" customHeight="1">
      <c r="B22" s="143"/>
      <c r="D22" s="145"/>
    </row>
    <row r="23" spans="2:8" ht="15" customHeight="1">
      <c r="B23" s="143"/>
      <c r="D23" s="157"/>
    </row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>
      <c r="D31" s="55"/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950000</v>
      </c>
      <c r="G50" s="53">
        <f>SUM(G15:G49)</f>
        <v>0</v>
      </c>
      <c r="H50" s="77">
        <f>F50-G50</f>
        <v>950000</v>
      </c>
      <c r="L50" s="92">
        <f>SUM(L3:L11)</f>
        <v>500000</v>
      </c>
      <c r="M50" s="161">
        <f>SUM(M3:M36)</f>
        <v>300000</v>
      </c>
      <c r="N50" s="156">
        <f>SUM(N3:N11)</f>
        <v>150000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950000</v>
      </c>
    </row>
  </sheetData>
  <mergeCells count="1">
    <mergeCell ref="L1:P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B1:P51"/>
  <sheetViews>
    <sheetView workbookViewId="0"/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14.57031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1133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227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s="55" t="s">
        <v>1134</v>
      </c>
      <c r="G3" s="18" t="s">
        <v>61</v>
      </c>
      <c r="H3" s="311" t="s">
        <v>1135</v>
      </c>
      <c r="L3" s="92">
        <f>F15</f>
        <v>500000</v>
      </c>
      <c r="M3" s="161">
        <v>50000</v>
      </c>
      <c r="O3" s="92"/>
      <c r="P3" s="92"/>
    </row>
    <row r="4" spans="2:16">
      <c r="D4" s="55" t="s">
        <v>52</v>
      </c>
      <c r="G4" s="18" t="s">
        <v>379</v>
      </c>
      <c r="O4" s="92"/>
    </row>
    <row r="5" spans="2:16">
      <c r="G5" s="18"/>
    </row>
    <row r="6" spans="2:16">
      <c r="G6" s="18" t="s">
        <v>962</v>
      </c>
      <c r="H6" s="142">
        <f>B15</f>
        <v>43944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43944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43944</v>
      </c>
      <c r="D16" t="s">
        <v>917</v>
      </c>
      <c r="F16" s="21">
        <v>50000</v>
      </c>
      <c r="H16" s="21">
        <f t="shared" ref="H16" si="0">H15+F16-G16</f>
        <v>550000</v>
      </c>
    </row>
    <row r="17" spans="2:6" ht="15" customHeight="1"/>
    <row r="18" spans="2:6" ht="15" customHeight="1"/>
    <row r="19" spans="2:6" ht="15" customHeight="1"/>
    <row r="20" spans="2:6" ht="15" customHeight="1"/>
    <row r="21" spans="2:6" ht="15" customHeight="1">
      <c r="B21" s="143"/>
      <c r="C21" s="144"/>
      <c r="D21" s="145"/>
      <c r="F21" s="23"/>
    </row>
    <row r="22" spans="2:6" ht="15" customHeight="1">
      <c r="B22" s="143"/>
      <c r="D22" s="145"/>
    </row>
    <row r="23" spans="2:6" ht="15" customHeight="1">
      <c r="B23" s="143"/>
      <c r="D23" s="157"/>
    </row>
    <row r="24" spans="2:6" ht="15" customHeight="1"/>
    <row r="25" spans="2:6" ht="15" customHeight="1"/>
    <row r="26" spans="2:6" ht="15" customHeight="1"/>
    <row r="27" spans="2:6" ht="15" customHeight="1"/>
    <row r="28" spans="2:6" ht="15" customHeight="1"/>
    <row r="29" spans="2:6" ht="15" customHeight="1"/>
    <row r="30" spans="2:6" ht="15" customHeight="1"/>
    <row r="31" spans="2:6" ht="15" customHeight="1">
      <c r="D31" s="55"/>
    </row>
    <row r="32" spans="2: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550000</v>
      </c>
      <c r="G50" s="53">
        <f>SUM(G15:G49)</f>
        <v>0</v>
      </c>
      <c r="H50" s="77">
        <f>F50-G50</f>
        <v>550000</v>
      </c>
      <c r="L50" s="92">
        <f>SUM(L3:L11)</f>
        <v>500000</v>
      </c>
      <c r="M50" s="161">
        <f>SUM(M3:M36)</f>
        <v>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550000</v>
      </c>
    </row>
  </sheetData>
  <mergeCells count="1">
    <mergeCell ref="L1:P1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B1:P51"/>
  <sheetViews>
    <sheetView workbookViewId="0">
      <selection sqref="A1:XFD1048576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14.57031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1137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228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s="55" t="s">
        <v>1138</v>
      </c>
      <c r="G3" s="18" t="s">
        <v>61</v>
      </c>
      <c r="H3" s="311" t="s">
        <v>1140</v>
      </c>
      <c r="L3" s="92">
        <f>F15</f>
        <v>500000</v>
      </c>
      <c r="M3" s="161">
        <v>50000</v>
      </c>
      <c r="O3" s="92"/>
      <c r="P3" s="92"/>
    </row>
    <row r="4" spans="2:16">
      <c r="D4" s="55" t="s">
        <v>1139</v>
      </c>
      <c r="G4" s="18" t="s">
        <v>379</v>
      </c>
      <c r="O4" s="92"/>
    </row>
    <row r="5" spans="2:16">
      <c r="G5" s="18"/>
    </row>
    <row r="6" spans="2:16">
      <c r="G6" s="18" t="s">
        <v>962</v>
      </c>
      <c r="H6" s="142">
        <f>B15</f>
        <v>43977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43977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43977</v>
      </c>
      <c r="D16" t="s">
        <v>917</v>
      </c>
      <c r="F16" s="21">
        <v>50000</v>
      </c>
      <c r="H16" s="21">
        <f t="shared" ref="H16" si="0">H15+F16-G16</f>
        <v>550000</v>
      </c>
    </row>
    <row r="17" spans="2:6" ht="15" customHeight="1"/>
    <row r="18" spans="2:6" ht="15" customHeight="1"/>
    <row r="19" spans="2:6" ht="15" customHeight="1"/>
    <row r="20" spans="2:6" ht="15" customHeight="1"/>
    <row r="21" spans="2:6" ht="15" customHeight="1">
      <c r="B21" s="143"/>
      <c r="C21" s="144"/>
      <c r="D21" s="145"/>
      <c r="F21" s="23"/>
    </row>
    <row r="22" spans="2:6" ht="15" customHeight="1">
      <c r="B22" s="143"/>
      <c r="D22" s="145"/>
    </row>
    <row r="23" spans="2:6" ht="15" customHeight="1">
      <c r="B23" s="143"/>
      <c r="D23" s="157"/>
    </row>
    <row r="24" spans="2:6" ht="15" customHeight="1"/>
    <row r="25" spans="2:6" ht="15" customHeight="1"/>
    <row r="26" spans="2:6" ht="15" customHeight="1"/>
    <row r="27" spans="2:6" ht="15" customHeight="1"/>
    <row r="28" spans="2:6" ht="15" customHeight="1"/>
    <row r="29" spans="2:6" ht="15" customHeight="1"/>
    <row r="30" spans="2:6" ht="15" customHeight="1"/>
    <row r="31" spans="2:6" ht="15" customHeight="1">
      <c r="D31" s="55"/>
    </row>
    <row r="32" spans="2: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550000</v>
      </c>
      <c r="G50" s="53">
        <f>SUM(G15:G49)</f>
        <v>0</v>
      </c>
      <c r="H50" s="77">
        <f>F50-G50</f>
        <v>550000</v>
      </c>
      <c r="L50" s="92">
        <f>SUM(L3:L11)</f>
        <v>500000</v>
      </c>
      <c r="M50" s="161">
        <f>SUM(M3:M36)</f>
        <v>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550000</v>
      </c>
    </row>
  </sheetData>
  <mergeCells count="1">
    <mergeCell ref="L1:P1"/>
  </mergeCells>
  <pageMargins left="0.70866141732283472" right="0.70866141732283472" top="0.74803149606299213" bottom="0.74803149606299213" header="0.31496062992125984" footer="0.31496062992125984"/>
  <pageSetup paperSize="9" scale="60" orientation="landscape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>
  <dimension ref="B1:P51"/>
  <sheetViews>
    <sheetView workbookViewId="0">
      <selection activeCell="M5" sqref="M5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14.57031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1141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229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s="55" t="s">
        <v>1142</v>
      </c>
      <c r="G3" s="18" t="s">
        <v>61</v>
      </c>
      <c r="H3" s="311" t="s">
        <v>1144</v>
      </c>
      <c r="L3" s="92">
        <f>F15</f>
        <v>500000</v>
      </c>
      <c r="M3" s="161">
        <v>50000</v>
      </c>
      <c r="O3" s="92"/>
      <c r="P3" s="92"/>
    </row>
    <row r="4" spans="2:16">
      <c r="D4" s="55" t="s">
        <v>1143</v>
      </c>
      <c r="G4" s="18" t="s">
        <v>379</v>
      </c>
      <c r="M4" s="161">
        <v>200000</v>
      </c>
      <c r="O4" s="92"/>
    </row>
    <row r="5" spans="2:16">
      <c r="G5" s="18"/>
    </row>
    <row r="6" spans="2:16">
      <c r="G6" s="18" t="s">
        <v>962</v>
      </c>
      <c r="H6" s="142">
        <f>B15</f>
        <v>43990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43990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43990</v>
      </c>
      <c r="D16" t="s">
        <v>917</v>
      </c>
      <c r="F16" s="21">
        <v>50000</v>
      </c>
      <c r="H16" s="21">
        <f t="shared" ref="H16:H17" si="0">H15+F16-G16</f>
        <v>550000</v>
      </c>
    </row>
    <row r="17" spans="2:8" ht="15" customHeight="1">
      <c r="B17" s="554">
        <v>44125</v>
      </c>
      <c r="D17" t="s">
        <v>1168</v>
      </c>
      <c r="F17" s="21">
        <v>200000</v>
      </c>
      <c r="H17" s="21">
        <f t="shared" si="0"/>
        <v>750000</v>
      </c>
    </row>
    <row r="18" spans="2:8" ht="15" customHeight="1"/>
    <row r="19" spans="2:8" ht="15" customHeight="1"/>
    <row r="20" spans="2:8" ht="15" customHeight="1"/>
    <row r="21" spans="2:8" ht="15" customHeight="1">
      <c r="B21" s="143"/>
      <c r="C21" s="144"/>
      <c r="D21" s="145"/>
      <c r="F21" s="23"/>
    </row>
    <row r="22" spans="2:8" ht="15" customHeight="1">
      <c r="B22" s="143"/>
      <c r="D22" s="145"/>
    </row>
    <row r="23" spans="2:8" ht="15" customHeight="1">
      <c r="B23" s="143"/>
      <c r="D23" s="157"/>
    </row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>
      <c r="D31" s="55"/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750000</v>
      </c>
      <c r="G50" s="53">
        <f>SUM(G15:G49)</f>
        <v>0</v>
      </c>
      <c r="H50" s="77">
        <f>F50-G50</f>
        <v>750000</v>
      </c>
      <c r="L50" s="92">
        <f>SUM(L3:L11)</f>
        <v>500000</v>
      </c>
      <c r="M50" s="161">
        <f>SUM(M3:M36)</f>
        <v>250000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750000</v>
      </c>
    </row>
  </sheetData>
  <mergeCells count="1">
    <mergeCell ref="L1:P1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B1:P51"/>
  <sheetViews>
    <sheetView workbookViewId="0"/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8.1406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156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1071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221</v>
      </c>
      <c r="G2" s="18" t="s">
        <v>53</v>
      </c>
      <c r="L2" s="155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s="55" t="s">
        <v>1072</v>
      </c>
      <c r="G3" s="18" t="s">
        <v>61</v>
      </c>
      <c r="H3" s="311" t="s">
        <v>1147</v>
      </c>
      <c r="L3" s="156">
        <f>F15</f>
        <v>50000</v>
      </c>
      <c r="M3" s="161">
        <v>50000</v>
      </c>
      <c r="O3" s="92"/>
      <c r="P3" s="92"/>
    </row>
    <row r="4" spans="2:16">
      <c r="D4" s="55" t="s">
        <v>411</v>
      </c>
      <c r="G4" s="18" t="s">
        <v>379</v>
      </c>
      <c r="L4" s="156">
        <v>450000</v>
      </c>
      <c r="M4" s="161">
        <v>50000</v>
      </c>
      <c r="O4" s="92"/>
    </row>
    <row r="5" spans="2:16">
      <c r="G5" s="18"/>
    </row>
    <row r="6" spans="2:16">
      <c r="G6" s="18" t="s">
        <v>962</v>
      </c>
      <c r="H6" s="142">
        <f>B15</f>
        <v>43711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43711</v>
      </c>
      <c r="D15" s="55" t="s">
        <v>932</v>
      </c>
      <c r="F15" s="21">
        <v>50000</v>
      </c>
      <c r="G15" s="22"/>
      <c r="H15" s="21">
        <f>F15-G15</f>
        <v>50000</v>
      </c>
    </row>
    <row r="16" spans="2:16" ht="15" customHeight="1">
      <c r="B16" s="554">
        <v>43836</v>
      </c>
      <c r="D16" s="55" t="s">
        <v>932</v>
      </c>
      <c r="F16" s="21">
        <v>450000</v>
      </c>
      <c r="H16" s="21">
        <f t="shared" ref="H16:H18" si="0">H15+F16-G16</f>
        <v>500000</v>
      </c>
    </row>
    <row r="17" spans="2:8" ht="15" customHeight="1">
      <c r="B17" s="554">
        <v>43836</v>
      </c>
      <c r="D17" s="55" t="s">
        <v>917</v>
      </c>
      <c r="F17" s="21">
        <v>50000</v>
      </c>
      <c r="H17" s="21">
        <f t="shared" si="0"/>
        <v>550000</v>
      </c>
    </row>
    <row r="18" spans="2:8" ht="15" customHeight="1">
      <c r="B18" s="554">
        <v>44021</v>
      </c>
      <c r="D18" s="55" t="s">
        <v>1148</v>
      </c>
      <c r="F18" s="21">
        <v>50000</v>
      </c>
      <c r="H18" s="21">
        <f t="shared" si="0"/>
        <v>600000</v>
      </c>
    </row>
    <row r="19" spans="2:8" ht="15" customHeight="1"/>
    <row r="20" spans="2:8" ht="15" customHeight="1"/>
    <row r="21" spans="2:8" ht="15" customHeight="1">
      <c r="B21" s="143"/>
      <c r="C21" s="144"/>
      <c r="D21" s="145"/>
      <c r="F21" s="23"/>
    </row>
    <row r="22" spans="2:8" ht="15" customHeight="1">
      <c r="B22" s="143"/>
      <c r="D22" s="145"/>
    </row>
    <row r="23" spans="2:8" ht="15" customHeight="1">
      <c r="B23" s="143"/>
      <c r="D23" s="157"/>
    </row>
    <row r="24" spans="2:8" ht="15" customHeight="1"/>
    <row r="25" spans="2:8" ht="15" customHeight="1"/>
    <row r="26" spans="2:8" ht="15" customHeight="1"/>
    <row r="27" spans="2:8" ht="15" customHeight="1"/>
    <row r="28" spans="2:8" ht="15" customHeight="1"/>
    <row r="29" spans="2:8" ht="15" customHeight="1"/>
    <row r="30" spans="2:8" ht="15" customHeight="1"/>
    <row r="31" spans="2:8" ht="15" customHeight="1">
      <c r="D31" s="55"/>
    </row>
    <row r="32" spans="2:8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600000</v>
      </c>
      <c r="G50" s="53">
        <f>SUM(G15:G49)</f>
        <v>0</v>
      </c>
      <c r="H50" s="77">
        <f>F50-G50</f>
        <v>600000</v>
      </c>
      <c r="L50" s="156">
        <f>SUM(L3:L11)</f>
        <v>500000</v>
      </c>
      <c r="M50" s="161">
        <f>SUM(M3:M36)</f>
        <v>100000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600000</v>
      </c>
    </row>
  </sheetData>
  <mergeCells count="1">
    <mergeCell ref="L1:P1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B1:P51"/>
  <sheetViews>
    <sheetView workbookViewId="0"/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14.57031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1149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231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s="55" t="s">
        <v>1150</v>
      </c>
      <c r="G3" s="18" t="s">
        <v>61</v>
      </c>
      <c r="H3" s="311" t="s">
        <v>1144</v>
      </c>
      <c r="L3" s="92">
        <f>F15</f>
        <v>500000</v>
      </c>
      <c r="M3" s="161">
        <v>50000</v>
      </c>
      <c r="O3" s="92"/>
      <c r="P3" s="92"/>
    </row>
    <row r="4" spans="2:16">
      <c r="D4" s="55" t="s">
        <v>1151</v>
      </c>
      <c r="G4" s="18" t="s">
        <v>379</v>
      </c>
      <c r="O4" s="92"/>
    </row>
    <row r="5" spans="2:16">
      <c r="G5" s="18"/>
    </row>
    <row r="6" spans="2:16">
      <c r="G6" s="18" t="s">
        <v>962</v>
      </c>
      <c r="H6" s="142">
        <f>B15</f>
        <v>44018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44018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44018</v>
      </c>
      <c r="D16" t="s">
        <v>917</v>
      </c>
      <c r="F16" s="21">
        <v>50000</v>
      </c>
      <c r="H16" s="21">
        <f t="shared" ref="H16" si="0">H15+F16-G16</f>
        <v>550000</v>
      </c>
    </row>
    <row r="17" spans="2:6" ht="15" customHeight="1"/>
    <row r="18" spans="2:6" ht="15" customHeight="1"/>
    <row r="19" spans="2:6" ht="15" customHeight="1"/>
    <row r="20" spans="2:6" ht="15" customHeight="1"/>
    <row r="21" spans="2:6" ht="15" customHeight="1">
      <c r="B21" s="143"/>
      <c r="C21" s="144"/>
      <c r="D21" s="145"/>
      <c r="F21" s="23"/>
    </row>
    <row r="22" spans="2:6" ht="15" customHeight="1">
      <c r="B22" s="143"/>
      <c r="D22" s="145"/>
    </row>
    <row r="23" spans="2:6" ht="15" customHeight="1">
      <c r="B23" s="143"/>
      <c r="D23" s="157"/>
    </row>
    <row r="24" spans="2:6" ht="15" customHeight="1"/>
    <row r="25" spans="2:6" ht="15" customHeight="1"/>
    <row r="26" spans="2:6" ht="15" customHeight="1"/>
    <row r="27" spans="2:6" ht="15" customHeight="1"/>
    <row r="28" spans="2:6" ht="15" customHeight="1"/>
    <row r="29" spans="2:6" ht="15" customHeight="1"/>
    <row r="30" spans="2:6" ht="15" customHeight="1"/>
    <row r="31" spans="2:6" ht="15" customHeight="1">
      <c r="D31" s="55"/>
    </row>
    <row r="32" spans="2: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550000</v>
      </c>
      <c r="G50" s="53">
        <f>SUM(G15:G49)</f>
        <v>0</v>
      </c>
      <c r="H50" s="77">
        <f>F50-G50</f>
        <v>550000</v>
      </c>
      <c r="L50" s="92">
        <f>SUM(L3:L11)</f>
        <v>500000</v>
      </c>
      <c r="M50" s="161">
        <f>SUM(M3:M36)</f>
        <v>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550000</v>
      </c>
    </row>
  </sheetData>
  <mergeCells count="1">
    <mergeCell ref="L1:P1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B1:P51"/>
  <sheetViews>
    <sheetView workbookViewId="0">
      <selection sqref="A1:XFD1048576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14.57031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1153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232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s="55" t="s">
        <v>1154</v>
      </c>
      <c r="G3" s="18" t="s">
        <v>61</v>
      </c>
      <c r="H3" s="311" t="s">
        <v>1156</v>
      </c>
      <c r="L3" s="92">
        <f>F15</f>
        <v>500000</v>
      </c>
      <c r="M3" s="161">
        <v>50000</v>
      </c>
      <c r="O3" s="92"/>
      <c r="P3" s="92"/>
    </row>
    <row r="4" spans="2:16">
      <c r="D4" s="55" t="s">
        <v>1155</v>
      </c>
      <c r="G4" s="18" t="s">
        <v>379</v>
      </c>
      <c r="O4" s="92"/>
    </row>
    <row r="5" spans="2:16">
      <c r="G5" s="18"/>
    </row>
    <row r="6" spans="2:16">
      <c r="G6" s="18" t="s">
        <v>962</v>
      </c>
      <c r="H6" s="142">
        <f>B15</f>
        <v>44059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44059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44059</v>
      </c>
      <c r="D16" t="s">
        <v>917</v>
      </c>
      <c r="F16" s="21">
        <v>50000</v>
      </c>
      <c r="H16" s="21">
        <f t="shared" ref="H16" si="0">H15+F16-G16</f>
        <v>550000</v>
      </c>
    </row>
    <row r="17" spans="2:6" ht="15" customHeight="1"/>
    <row r="18" spans="2:6" ht="15" customHeight="1"/>
    <row r="19" spans="2:6" ht="15" customHeight="1"/>
    <row r="20" spans="2:6" ht="15" customHeight="1"/>
    <row r="21" spans="2:6" ht="15" customHeight="1">
      <c r="B21" s="143"/>
      <c r="C21" s="144"/>
      <c r="D21" s="145"/>
      <c r="F21" s="23"/>
    </row>
    <row r="22" spans="2:6" ht="15" customHeight="1">
      <c r="B22" s="143"/>
      <c r="D22" s="145"/>
    </row>
    <row r="23" spans="2:6" ht="15" customHeight="1">
      <c r="B23" s="143"/>
      <c r="D23" s="157"/>
    </row>
    <row r="24" spans="2:6" ht="15" customHeight="1"/>
    <row r="25" spans="2:6" ht="15" customHeight="1"/>
    <row r="26" spans="2:6" ht="15" customHeight="1"/>
    <row r="27" spans="2:6" ht="15" customHeight="1"/>
    <row r="28" spans="2:6" ht="15" customHeight="1"/>
    <row r="29" spans="2:6" ht="15" customHeight="1"/>
    <row r="30" spans="2:6" ht="15" customHeight="1"/>
    <row r="31" spans="2:6" ht="15" customHeight="1">
      <c r="D31" s="55"/>
    </row>
    <row r="32" spans="2: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550000</v>
      </c>
      <c r="G50" s="53">
        <f>SUM(G15:G49)</f>
        <v>0</v>
      </c>
      <c r="H50" s="77">
        <f>F50-G50</f>
        <v>550000</v>
      </c>
      <c r="L50" s="92">
        <f>SUM(L3:L11)</f>
        <v>500000</v>
      </c>
      <c r="M50" s="161">
        <f>SUM(M3:M36)</f>
        <v>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550000</v>
      </c>
    </row>
  </sheetData>
  <mergeCells count="1">
    <mergeCell ref="L1:P1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B1:P51"/>
  <sheetViews>
    <sheetView workbookViewId="0">
      <selection activeCell="H4" sqref="H4"/>
    </sheetView>
  </sheetViews>
  <sheetFormatPr defaultRowHeight="12.75"/>
  <cols>
    <col min="1" max="1" width="0.7109375" customWidth="1"/>
    <col min="2" max="2" width="11.28515625" style="554" customWidth="1"/>
    <col min="3" max="3" width="1.5703125" customWidth="1"/>
    <col min="5" max="5" width="14.5703125" customWidth="1"/>
    <col min="6" max="6" width="12" style="21" customWidth="1"/>
    <col min="7" max="7" width="14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61" customWidth="1"/>
    <col min="14" max="15" width="14.140625" style="30" customWidth="1"/>
    <col min="16" max="16" width="17.140625" style="30" customWidth="1"/>
  </cols>
  <sheetData>
    <row r="1" spans="2:16">
      <c r="B1" s="554" t="s">
        <v>49</v>
      </c>
      <c r="C1" t="s">
        <v>3</v>
      </c>
      <c r="D1" s="26" t="s">
        <v>1169</v>
      </c>
      <c r="G1" s="18" t="s">
        <v>1001</v>
      </c>
      <c r="L1" s="679" t="s">
        <v>337</v>
      </c>
      <c r="M1" s="679"/>
      <c r="N1" s="679"/>
      <c r="O1" s="679"/>
      <c r="P1" s="679"/>
    </row>
    <row r="2" spans="2:16">
      <c r="B2" s="554" t="s">
        <v>50</v>
      </c>
      <c r="C2" t="s">
        <v>3</v>
      </c>
      <c r="D2" s="308" t="s">
        <v>233</v>
      </c>
      <c r="G2" s="18" t="s">
        <v>53</v>
      </c>
      <c r="L2" s="91" t="s">
        <v>338</v>
      </c>
      <c r="M2" s="290" t="s">
        <v>339</v>
      </c>
      <c r="N2" s="91" t="s">
        <v>340</v>
      </c>
      <c r="O2" s="91" t="s">
        <v>393</v>
      </c>
      <c r="P2" s="91" t="s">
        <v>341</v>
      </c>
    </row>
    <row r="3" spans="2:16">
      <c r="B3" s="554" t="s">
        <v>11</v>
      </c>
      <c r="C3" t="s">
        <v>3</v>
      </c>
      <c r="D3" s="55" t="s">
        <v>1170</v>
      </c>
      <c r="G3" s="18" t="s">
        <v>61</v>
      </c>
      <c r="H3" s="311" t="s">
        <v>799</v>
      </c>
      <c r="L3" s="92">
        <f>F15</f>
        <v>500000</v>
      </c>
      <c r="M3" s="161">
        <v>50000</v>
      </c>
      <c r="O3" s="92"/>
      <c r="P3" s="92"/>
    </row>
    <row r="4" spans="2:16">
      <c r="D4" s="55" t="s">
        <v>1171</v>
      </c>
      <c r="G4" s="18" t="s">
        <v>379</v>
      </c>
      <c r="O4" s="92"/>
    </row>
    <row r="5" spans="2:16">
      <c r="G5" s="18"/>
    </row>
    <row r="6" spans="2:16">
      <c r="G6" s="18" t="s">
        <v>962</v>
      </c>
      <c r="H6" s="142">
        <f>B15</f>
        <v>44137</v>
      </c>
    </row>
    <row r="7" spans="2:16">
      <c r="G7" s="24" t="s">
        <v>950</v>
      </c>
    </row>
    <row r="8" spans="2:16">
      <c r="G8" s="18"/>
    </row>
    <row r="11" spans="2:16">
      <c r="G11" s="18" t="s">
        <v>56</v>
      </c>
    </row>
    <row r="14" spans="2:16">
      <c r="B14" s="554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554">
        <v>44137</v>
      </c>
      <c r="D15" t="s">
        <v>59</v>
      </c>
      <c r="F15" s="21">
        <v>500000</v>
      </c>
      <c r="G15" s="22"/>
      <c r="H15" s="21">
        <f>F15-G15</f>
        <v>500000</v>
      </c>
    </row>
    <row r="16" spans="2:16" ht="15" customHeight="1">
      <c r="B16" s="554">
        <v>44137</v>
      </c>
      <c r="D16" t="s">
        <v>917</v>
      </c>
      <c r="F16" s="21">
        <v>50000</v>
      </c>
      <c r="H16" s="21">
        <f t="shared" ref="H16" si="0">H15+F16-G16</f>
        <v>550000</v>
      </c>
    </row>
    <row r="17" spans="2:6" ht="15" customHeight="1"/>
    <row r="18" spans="2:6" ht="15" customHeight="1"/>
    <row r="19" spans="2:6" ht="15" customHeight="1"/>
    <row r="20" spans="2:6" ht="15" customHeight="1"/>
    <row r="21" spans="2:6" ht="15" customHeight="1">
      <c r="B21" s="143"/>
      <c r="C21" s="144"/>
      <c r="D21" s="145"/>
      <c r="F21" s="23"/>
    </row>
    <row r="22" spans="2:6" ht="15" customHeight="1">
      <c r="B22" s="143"/>
      <c r="D22" s="145"/>
    </row>
    <row r="23" spans="2:6" ht="15" customHeight="1">
      <c r="B23" s="143"/>
      <c r="D23" s="157"/>
    </row>
    <row r="24" spans="2:6" ht="15" customHeight="1"/>
    <row r="25" spans="2:6" ht="15" customHeight="1"/>
    <row r="26" spans="2:6" ht="15" customHeight="1"/>
    <row r="27" spans="2:6" ht="15" customHeight="1"/>
    <row r="28" spans="2:6" ht="15" customHeight="1"/>
    <row r="29" spans="2:6" ht="15" customHeight="1"/>
    <row r="30" spans="2:6" ht="15" customHeight="1"/>
    <row r="31" spans="2:6" ht="15" customHeight="1">
      <c r="D31" s="55"/>
    </row>
    <row r="32" spans="2: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16" ht="15" customHeight="1">
      <c r="D50" s="76" t="s">
        <v>307</v>
      </c>
      <c r="E50" s="48"/>
      <c r="F50" s="53">
        <f>SUM(F15:F49)</f>
        <v>550000</v>
      </c>
      <c r="G50" s="53">
        <f>SUM(G15:G49)</f>
        <v>0</v>
      </c>
      <c r="H50" s="77">
        <f>F50-G50</f>
        <v>550000</v>
      </c>
      <c r="L50" s="92">
        <f>SUM(L3:L11)</f>
        <v>500000</v>
      </c>
      <c r="M50" s="161">
        <f>SUM(M3:M36)</f>
        <v>50000</v>
      </c>
      <c r="N50" s="92">
        <f>SUM(N3:N11)</f>
        <v>0</v>
      </c>
      <c r="O50" s="92">
        <f>SUM(O3:O11)</f>
        <v>0</v>
      </c>
      <c r="P50" s="92">
        <f>SUM(P3:P11)</f>
        <v>0</v>
      </c>
    </row>
    <row r="51" spans="4:16">
      <c r="P51" s="92">
        <f>SUM(L50:P50)</f>
        <v>550000</v>
      </c>
    </row>
  </sheetData>
  <mergeCells count="1">
    <mergeCell ref="L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>
    <tabColor rgb="FF00B0F0"/>
  </sheetPr>
  <dimension ref="B1:O103"/>
  <sheetViews>
    <sheetView topLeftCell="A52" zoomScale="80" zoomScaleNormal="80" workbookViewId="0">
      <selection activeCell="N55" sqref="N55"/>
    </sheetView>
  </sheetViews>
  <sheetFormatPr defaultRowHeight="12.75"/>
  <cols>
    <col min="1" max="1" width="0.42578125" style="145" customWidth="1"/>
    <col min="2" max="2" width="10.5703125" style="136" customWidth="1"/>
    <col min="3" max="3" width="1.85546875" style="145" customWidth="1"/>
    <col min="4" max="4" width="9.140625" style="145"/>
    <col min="5" max="5" width="14.5703125" style="145" customWidth="1"/>
    <col min="6" max="6" width="11.28515625" style="137" customWidth="1"/>
    <col min="7" max="8" width="13.85546875" style="137" customWidth="1"/>
    <col min="9" max="9" width="5" style="145" customWidth="1"/>
    <col min="10" max="11" width="9.140625" style="145"/>
    <col min="12" max="14" width="14.140625" style="358" customWidth="1"/>
    <col min="15" max="15" width="17.140625" style="358" customWidth="1"/>
    <col min="16" max="16384" width="9.140625" style="145"/>
  </cols>
  <sheetData>
    <row r="1" spans="2:15" s="357" customFormat="1">
      <c r="B1" s="458" t="s">
        <v>49</v>
      </c>
      <c r="C1" s="357" t="s">
        <v>3</v>
      </c>
      <c r="D1" s="145" t="s">
        <v>82</v>
      </c>
      <c r="F1" s="459"/>
      <c r="G1" s="460" t="s">
        <v>60</v>
      </c>
      <c r="H1" s="459"/>
      <c r="L1" s="681" t="s">
        <v>337</v>
      </c>
      <c r="M1" s="681"/>
      <c r="N1" s="681"/>
      <c r="O1" s="681"/>
    </row>
    <row r="2" spans="2:15" s="357" customFormat="1">
      <c r="B2" s="458" t="s">
        <v>50</v>
      </c>
      <c r="C2" s="357" t="s">
        <v>3</v>
      </c>
      <c r="D2" s="461" t="s">
        <v>76</v>
      </c>
      <c r="F2" s="459"/>
      <c r="G2" s="460" t="s">
        <v>53</v>
      </c>
      <c r="H2" s="459"/>
      <c r="L2" s="462" t="s">
        <v>338</v>
      </c>
      <c r="M2" s="462" t="s">
        <v>339</v>
      </c>
      <c r="N2" s="462" t="s">
        <v>340</v>
      </c>
      <c r="O2" s="462" t="s">
        <v>393</v>
      </c>
    </row>
    <row r="3" spans="2:15" s="357" customFormat="1">
      <c r="B3" s="458" t="s">
        <v>11</v>
      </c>
      <c r="C3" s="357" t="s">
        <v>3</v>
      </c>
      <c r="D3" s="145" t="s">
        <v>84</v>
      </c>
      <c r="F3" s="459"/>
      <c r="G3" s="460" t="s">
        <v>61</v>
      </c>
      <c r="H3" s="145" t="s">
        <v>83</v>
      </c>
      <c r="L3" s="358">
        <f>F15</f>
        <v>200000</v>
      </c>
      <c r="M3" s="358">
        <f>F16</f>
        <v>20000</v>
      </c>
      <c r="N3" s="358">
        <f>F20</f>
        <v>53000</v>
      </c>
      <c r="O3" s="358">
        <f>F27</f>
        <v>43422.663456267779</v>
      </c>
    </row>
    <row r="4" spans="2:15" s="357" customFormat="1">
      <c r="B4" s="458"/>
      <c r="D4" s="357" t="s">
        <v>52</v>
      </c>
      <c r="F4" s="459"/>
      <c r="G4" s="460" t="s">
        <v>126</v>
      </c>
      <c r="H4" s="459"/>
      <c r="L4" s="358">
        <v>100000</v>
      </c>
      <c r="M4" s="358">
        <f>F17</f>
        <v>20000</v>
      </c>
      <c r="N4" s="358">
        <f>F22</f>
        <v>6000</v>
      </c>
      <c r="O4" s="358">
        <v>120573.63708600706</v>
      </c>
    </row>
    <row r="5" spans="2:15" s="357" customFormat="1">
      <c r="B5" s="458"/>
      <c r="F5" s="459"/>
      <c r="G5" s="460"/>
      <c r="H5" s="459"/>
      <c r="L5" s="358">
        <v>200000</v>
      </c>
      <c r="M5" s="358">
        <f>F18</f>
        <v>60000</v>
      </c>
      <c r="N5" s="358">
        <f>F24</f>
        <v>8000</v>
      </c>
      <c r="O5" s="358">
        <v>72064.091036910249</v>
      </c>
    </row>
    <row r="6" spans="2:15" s="357" customFormat="1">
      <c r="B6" s="458"/>
      <c r="F6" s="459"/>
      <c r="G6" s="460" t="s">
        <v>127</v>
      </c>
      <c r="H6" s="459"/>
      <c r="L6" s="358"/>
      <c r="M6" s="358">
        <v>20000</v>
      </c>
      <c r="N6" s="358">
        <f>F29</f>
        <v>68000</v>
      </c>
      <c r="O6" s="358">
        <v>61449.665940762294</v>
      </c>
    </row>
    <row r="7" spans="2:15" s="357" customFormat="1">
      <c r="B7" s="458"/>
      <c r="F7" s="459"/>
      <c r="G7" s="463" t="s">
        <v>55</v>
      </c>
      <c r="H7" s="459"/>
      <c r="L7" s="358"/>
      <c r="M7" s="358">
        <f>F19</f>
        <v>20000</v>
      </c>
      <c r="N7" s="358">
        <f>F31</f>
        <v>40000</v>
      </c>
      <c r="O7" s="358">
        <v>96621.500241963382</v>
      </c>
    </row>
    <row r="8" spans="2:15" s="357" customFormat="1">
      <c r="B8" s="458"/>
      <c r="F8" s="459"/>
      <c r="G8" s="460"/>
      <c r="H8" s="459"/>
      <c r="L8" s="358"/>
      <c r="M8" s="358">
        <v>20000</v>
      </c>
      <c r="N8" s="358">
        <v>50000</v>
      </c>
      <c r="O8" s="358">
        <v>-200000</v>
      </c>
    </row>
    <row r="9" spans="2:15" s="357" customFormat="1">
      <c r="B9" s="458"/>
      <c r="F9" s="459"/>
      <c r="G9" s="459"/>
      <c r="H9" s="459"/>
      <c r="L9" s="358"/>
      <c r="M9" s="358">
        <v>0</v>
      </c>
      <c r="N9" s="358">
        <v>13000</v>
      </c>
      <c r="O9" s="358"/>
    </row>
    <row r="10" spans="2:15" s="357" customFormat="1">
      <c r="B10" s="458"/>
      <c r="F10" s="459"/>
      <c r="G10" s="459"/>
      <c r="H10" s="459"/>
      <c r="L10" s="358"/>
      <c r="M10" s="358">
        <f>F26</f>
        <v>20000</v>
      </c>
      <c r="N10" s="358">
        <v>50000</v>
      </c>
      <c r="O10" s="358"/>
    </row>
    <row r="11" spans="2:15" s="357" customFormat="1">
      <c r="B11" s="458"/>
      <c r="F11" s="459"/>
      <c r="G11" s="460" t="s">
        <v>56</v>
      </c>
      <c r="H11" s="459"/>
      <c r="L11" s="358"/>
      <c r="M11" s="358">
        <v>0</v>
      </c>
      <c r="N11" s="358">
        <v>5000</v>
      </c>
      <c r="O11" s="358"/>
    </row>
    <row r="12" spans="2:15" s="357" customFormat="1">
      <c r="B12" s="458"/>
      <c r="F12" s="459"/>
      <c r="G12" s="459"/>
      <c r="H12" s="459"/>
      <c r="L12" s="358"/>
      <c r="M12" s="358">
        <f>F30</f>
        <v>100000</v>
      </c>
      <c r="N12" s="358">
        <v>10000</v>
      </c>
      <c r="O12" s="358"/>
    </row>
    <row r="13" spans="2:15" s="357" customFormat="1">
      <c r="B13" s="458"/>
      <c r="F13" s="459"/>
      <c r="G13" s="459"/>
      <c r="H13" s="459"/>
      <c r="L13" s="358"/>
      <c r="M13" s="358">
        <f>F32</f>
        <v>50000</v>
      </c>
      <c r="N13" s="358">
        <v>5000</v>
      </c>
      <c r="O13" s="358"/>
    </row>
    <row r="14" spans="2:15" s="357" customFormat="1">
      <c r="B14" s="458" t="s">
        <v>57</v>
      </c>
      <c r="D14" s="357" t="s">
        <v>58</v>
      </c>
      <c r="F14" s="464" t="s">
        <v>87</v>
      </c>
      <c r="G14" s="464" t="s">
        <v>88</v>
      </c>
      <c r="H14" s="464" t="s">
        <v>89</v>
      </c>
      <c r="L14" s="358"/>
      <c r="M14" s="358">
        <v>25000</v>
      </c>
      <c r="N14" s="358">
        <v>10000</v>
      </c>
      <c r="O14" s="358"/>
    </row>
    <row r="15" spans="2:15" s="357" customFormat="1" ht="15" customHeight="1">
      <c r="B15" s="458">
        <v>40682</v>
      </c>
      <c r="D15" s="357" t="s">
        <v>59</v>
      </c>
      <c r="F15" s="459">
        <v>200000</v>
      </c>
      <c r="G15" s="465"/>
      <c r="H15" s="459">
        <f>F15-G15</f>
        <v>200000</v>
      </c>
      <c r="L15" s="358"/>
      <c r="M15" s="358">
        <v>50000</v>
      </c>
      <c r="N15" s="358">
        <v>10000</v>
      </c>
      <c r="O15" s="358"/>
    </row>
    <row r="16" spans="2:15" s="357" customFormat="1" ht="15" customHeight="1">
      <c r="B16" s="458">
        <v>40682</v>
      </c>
      <c r="D16" s="357" t="s">
        <v>102</v>
      </c>
      <c r="F16" s="459">
        <v>20000</v>
      </c>
      <c r="G16" s="459"/>
      <c r="H16" s="459">
        <f t="shared" ref="H16:H84" si="0">H15+F16-G16</f>
        <v>220000</v>
      </c>
      <c r="L16" s="358"/>
      <c r="M16" s="358">
        <v>50000</v>
      </c>
      <c r="N16" s="358">
        <v>10000</v>
      </c>
      <c r="O16" s="358"/>
    </row>
    <row r="17" spans="2:14" ht="15" customHeight="1">
      <c r="B17" s="136">
        <v>40682</v>
      </c>
      <c r="D17" s="145" t="s">
        <v>102</v>
      </c>
      <c r="F17" s="137">
        <v>20000</v>
      </c>
      <c r="H17" s="137">
        <f t="shared" si="0"/>
        <v>240000</v>
      </c>
      <c r="M17" s="466">
        <v>100000</v>
      </c>
      <c r="N17" s="358">
        <v>60000</v>
      </c>
    </row>
    <row r="18" spans="2:14" ht="15" customHeight="1">
      <c r="B18" s="136">
        <v>40724</v>
      </c>
      <c r="D18" s="145" t="s">
        <v>102</v>
      </c>
      <c r="F18" s="137">
        <v>60000</v>
      </c>
      <c r="H18" s="137">
        <f t="shared" si="0"/>
        <v>300000</v>
      </c>
      <c r="M18" s="358">
        <v>75000</v>
      </c>
      <c r="N18" s="358">
        <v>10000</v>
      </c>
    </row>
    <row r="19" spans="2:14" ht="15" customHeight="1">
      <c r="B19" s="136">
        <v>40763</v>
      </c>
      <c r="D19" s="145" t="s">
        <v>102</v>
      </c>
      <c r="F19" s="137">
        <v>20000</v>
      </c>
      <c r="H19" s="137">
        <f t="shared" si="0"/>
        <v>320000</v>
      </c>
      <c r="M19" s="358">
        <v>25000</v>
      </c>
      <c r="N19" s="358">
        <v>10000</v>
      </c>
    </row>
    <row r="20" spans="2:14" ht="15" customHeight="1">
      <c r="B20" s="136">
        <v>40763</v>
      </c>
      <c r="D20" s="145" t="s">
        <v>110</v>
      </c>
      <c r="F20" s="137">
        <v>53000</v>
      </c>
      <c r="H20" s="137">
        <f t="shared" si="0"/>
        <v>373000</v>
      </c>
      <c r="M20" s="358">
        <v>25000</v>
      </c>
      <c r="N20" s="358">
        <v>12000</v>
      </c>
    </row>
    <row r="21" spans="2:14" ht="15" customHeight="1">
      <c r="B21" s="136">
        <v>40811</v>
      </c>
      <c r="D21" s="145" t="s">
        <v>102</v>
      </c>
      <c r="F21" s="137">
        <v>20000</v>
      </c>
      <c r="H21" s="137">
        <f t="shared" si="0"/>
        <v>393000</v>
      </c>
      <c r="M21" s="358">
        <v>25000</v>
      </c>
      <c r="N21" s="358">
        <v>32000</v>
      </c>
    </row>
    <row r="22" spans="2:14" ht="15" customHeight="1">
      <c r="B22" s="136">
        <v>40811</v>
      </c>
      <c r="D22" s="145" t="s">
        <v>110</v>
      </c>
      <c r="F22" s="137">
        <v>6000</v>
      </c>
      <c r="H22" s="137">
        <f t="shared" si="0"/>
        <v>399000</v>
      </c>
      <c r="M22" s="358">
        <v>25000</v>
      </c>
      <c r="N22" s="358">
        <v>32000</v>
      </c>
    </row>
    <row r="23" spans="2:14" ht="15" customHeight="1">
      <c r="B23" s="136">
        <v>40916</v>
      </c>
      <c r="D23" s="145" t="s">
        <v>102</v>
      </c>
      <c r="F23" s="137">
        <v>20000</v>
      </c>
      <c r="H23" s="137">
        <f t="shared" si="0"/>
        <v>419000</v>
      </c>
      <c r="M23" s="358">
        <v>25000</v>
      </c>
      <c r="N23" s="358">
        <v>25000</v>
      </c>
    </row>
    <row r="24" spans="2:14" ht="15" customHeight="1">
      <c r="B24" s="136">
        <v>40916</v>
      </c>
      <c r="D24" s="145" t="s">
        <v>110</v>
      </c>
      <c r="F24" s="137">
        <v>8000</v>
      </c>
      <c r="H24" s="137">
        <f t="shared" si="0"/>
        <v>427000</v>
      </c>
      <c r="M24" s="326">
        <v>25000</v>
      </c>
      <c r="N24" s="358">
        <v>32000</v>
      </c>
    </row>
    <row r="25" spans="2:14" ht="15" customHeight="1">
      <c r="B25" s="136">
        <v>40943</v>
      </c>
      <c r="D25" s="145" t="s">
        <v>776</v>
      </c>
      <c r="F25" s="137">
        <v>100000</v>
      </c>
      <c r="H25" s="137">
        <f t="shared" si="0"/>
        <v>527000</v>
      </c>
      <c r="M25" s="358">
        <v>50000</v>
      </c>
      <c r="N25" s="358">
        <v>32000</v>
      </c>
    </row>
    <row r="26" spans="2:14" ht="15" customHeight="1">
      <c r="B26" s="136">
        <v>41202</v>
      </c>
      <c r="D26" s="145" t="s">
        <v>367</v>
      </c>
      <c r="F26" s="137">
        <v>20000</v>
      </c>
      <c r="H26" s="137">
        <f t="shared" si="0"/>
        <v>547000</v>
      </c>
      <c r="M26" s="358">
        <v>50000</v>
      </c>
      <c r="N26" s="358">
        <v>32000</v>
      </c>
    </row>
    <row r="27" spans="2:14" ht="15" customHeight="1">
      <c r="B27" s="136">
        <v>41274</v>
      </c>
      <c r="D27" s="145" t="s">
        <v>392</v>
      </c>
      <c r="F27" s="467">
        <v>43422.663456267779</v>
      </c>
      <c r="H27" s="137">
        <f t="shared" si="0"/>
        <v>590422.66345626779</v>
      </c>
      <c r="M27" s="358">
        <v>50000</v>
      </c>
      <c r="N27" s="358">
        <v>32000</v>
      </c>
    </row>
    <row r="28" spans="2:14" ht="15" customHeight="1">
      <c r="B28" s="136">
        <v>41318</v>
      </c>
      <c r="D28" s="145" t="s">
        <v>777</v>
      </c>
      <c r="F28" s="137">
        <v>200000</v>
      </c>
      <c r="H28" s="137">
        <f t="shared" si="0"/>
        <v>790422.66345626779</v>
      </c>
      <c r="M28" s="358">
        <v>50000</v>
      </c>
      <c r="N28" s="358">
        <v>32000</v>
      </c>
    </row>
    <row r="29" spans="2:14" ht="15" customHeight="1">
      <c r="B29" s="136">
        <v>41318</v>
      </c>
      <c r="D29" s="145" t="s">
        <v>282</v>
      </c>
      <c r="F29" s="137">
        <v>68000</v>
      </c>
      <c r="H29" s="137">
        <f t="shared" si="0"/>
        <v>858422.66345626779</v>
      </c>
      <c r="M29" s="358">
        <v>50000</v>
      </c>
      <c r="N29" s="358">
        <v>32000</v>
      </c>
    </row>
    <row r="30" spans="2:14" ht="15" customHeight="1">
      <c r="B30" s="136">
        <v>41432</v>
      </c>
      <c r="D30" s="145" t="s">
        <v>441</v>
      </c>
      <c r="F30" s="137">
        <v>100000</v>
      </c>
      <c r="H30" s="137">
        <f t="shared" si="0"/>
        <v>958422.66345626779</v>
      </c>
      <c r="M30" s="358">
        <v>100000</v>
      </c>
      <c r="N30" s="358">
        <v>32000</v>
      </c>
    </row>
    <row r="31" spans="2:14" ht="15" customHeight="1">
      <c r="B31" s="136">
        <v>41432</v>
      </c>
      <c r="D31" s="145" t="s">
        <v>282</v>
      </c>
      <c r="F31" s="137">
        <v>40000</v>
      </c>
      <c r="H31" s="137">
        <f t="shared" si="0"/>
        <v>998422.66345626779</v>
      </c>
      <c r="M31" s="358">
        <v>50000</v>
      </c>
      <c r="N31" s="358">
        <v>20000</v>
      </c>
    </row>
    <row r="32" spans="2:14" ht="15" customHeight="1">
      <c r="B32" s="136">
        <v>41458</v>
      </c>
      <c r="D32" s="145" t="s">
        <v>456</v>
      </c>
      <c r="F32" s="137">
        <v>50000</v>
      </c>
      <c r="H32" s="137">
        <f t="shared" si="0"/>
        <v>1048422.6634562678</v>
      </c>
      <c r="M32" s="358">
        <v>50000</v>
      </c>
      <c r="N32" s="358">
        <v>32000</v>
      </c>
    </row>
    <row r="33" spans="2:14" ht="15" customHeight="1">
      <c r="B33" s="136">
        <v>41458</v>
      </c>
      <c r="D33" s="145" t="s">
        <v>282</v>
      </c>
      <c r="F33" s="137">
        <v>50000</v>
      </c>
      <c r="H33" s="137">
        <f t="shared" si="0"/>
        <v>1098422.6634562677</v>
      </c>
      <c r="M33" s="358">
        <v>50000</v>
      </c>
      <c r="N33" s="358">
        <v>25000</v>
      </c>
    </row>
    <row r="34" spans="2:14" ht="15" customHeight="1">
      <c r="B34" s="136">
        <v>41544</v>
      </c>
      <c r="D34" s="145" t="s">
        <v>481</v>
      </c>
      <c r="F34" s="137">
        <v>25000</v>
      </c>
      <c r="H34" s="137">
        <f t="shared" si="0"/>
        <v>1123422.6634562677</v>
      </c>
      <c r="M34" s="358">
        <v>50000</v>
      </c>
      <c r="N34" s="358">
        <v>20000</v>
      </c>
    </row>
    <row r="35" spans="2:14" ht="15" customHeight="1">
      <c r="B35" s="136">
        <v>41544</v>
      </c>
      <c r="D35" s="145" t="s">
        <v>282</v>
      </c>
      <c r="F35" s="137">
        <v>13000</v>
      </c>
      <c r="H35" s="137">
        <f t="shared" si="0"/>
        <v>1136422.6634562677</v>
      </c>
      <c r="M35" s="358">
        <v>50000</v>
      </c>
      <c r="N35" s="358">
        <v>32000</v>
      </c>
    </row>
    <row r="36" spans="2:14" ht="15" customHeight="1">
      <c r="B36" s="136">
        <v>41580</v>
      </c>
      <c r="D36" s="145" t="s">
        <v>487</v>
      </c>
      <c r="F36" s="137">
        <v>50000</v>
      </c>
      <c r="H36" s="137">
        <f t="shared" si="0"/>
        <v>1186422.6634562677</v>
      </c>
      <c r="M36" s="358">
        <v>50000</v>
      </c>
      <c r="N36" s="358">
        <v>32000</v>
      </c>
    </row>
    <row r="37" spans="2:14" ht="15" customHeight="1">
      <c r="B37" s="136">
        <v>41580</v>
      </c>
      <c r="D37" s="145" t="s">
        <v>282</v>
      </c>
      <c r="F37" s="137">
        <v>50000</v>
      </c>
      <c r="H37" s="137">
        <f t="shared" si="0"/>
        <v>1236422.6634562677</v>
      </c>
      <c r="M37" s="358">
        <v>50000</v>
      </c>
      <c r="N37" s="358">
        <v>32000</v>
      </c>
    </row>
    <row r="38" spans="2:14" ht="15" customHeight="1">
      <c r="B38" s="136">
        <v>41640</v>
      </c>
      <c r="D38" s="145" t="s">
        <v>499</v>
      </c>
      <c r="F38" s="137">
        <v>120573.63708600706</v>
      </c>
      <c r="H38" s="137">
        <f t="shared" si="0"/>
        <v>1356996.3005422747</v>
      </c>
      <c r="M38" s="358">
        <v>50000</v>
      </c>
      <c r="N38" s="358">
        <v>32000</v>
      </c>
    </row>
    <row r="39" spans="2:14" ht="15" customHeight="1">
      <c r="B39" s="136">
        <v>41672</v>
      </c>
      <c r="D39" s="145" t="s">
        <v>514</v>
      </c>
      <c r="F39" s="137">
        <v>50000</v>
      </c>
      <c r="H39" s="137">
        <f t="shared" si="0"/>
        <v>1406996.3005422747</v>
      </c>
      <c r="M39" s="358">
        <v>50000</v>
      </c>
      <c r="N39" s="358">
        <v>50000</v>
      </c>
    </row>
    <row r="40" spans="2:14" ht="15" customHeight="1">
      <c r="B40" s="136">
        <v>42006</v>
      </c>
      <c r="D40" s="145" t="s">
        <v>591</v>
      </c>
      <c r="F40" s="137">
        <v>72064.091036910249</v>
      </c>
      <c r="H40" s="137">
        <f t="shared" si="0"/>
        <v>1479060.3915791849</v>
      </c>
      <c r="M40" s="358">
        <v>50000</v>
      </c>
      <c r="N40" s="358">
        <v>32000</v>
      </c>
    </row>
    <row r="41" spans="2:14" ht="15" customHeight="1">
      <c r="B41" s="136">
        <v>42037</v>
      </c>
      <c r="D41" s="145" t="s">
        <v>605</v>
      </c>
      <c r="F41" s="137">
        <v>100000</v>
      </c>
      <c r="H41" s="137">
        <f t="shared" si="0"/>
        <v>1579060.3915791849</v>
      </c>
      <c r="M41" s="358">
        <v>50000</v>
      </c>
      <c r="N41" s="358">
        <v>32000</v>
      </c>
    </row>
    <row r="42" spans="2:14" ht="15" customHeight="1">
      <c r="B42" s="136">
        <v>42370</v>
      </c>
      <c r="D42" s="145" t="s">
        <v>686</v>
      </c>
      <c r="F42" s="137">
        <v>61449.665940762294</v>
      </c>
      <c r="H42" s="137">
        <f t="shared" si="0"/>
        <v>1640510.0575199472</v>
      </c>
      <c r="M42" s="358">
        <v>50000</v>
      </c>
      <c r="N42" s="358">
        <v>32000</v>
      </c>
    </row>
    <row r="43" spans="2:14" ht="15" customHeight="1">
      <c r="B43" s="136">
        <v>42472</v>
      </c>
      <c r="D43" s="145" t="s">
        <v>700</v>
      </c>
      <c r="F43" s="137">
        <v>75000</v>
      </c>
      <c r="H43" s="137">
        <f t="shared" si="0"/>
        <v>1715510.0575199472</v>
      </c>
      <c r="M43" s="358">
        <v>50000</v>
      </c>
      <c r="N43" s="358">
        <v>32000</v>
      </c>
    </row>
    <row r="44" spans="2:14" ht="15" customHeight="1">
      <c r="B44" s="136">
        <v>42472</v>
      </c>
      <c r="D44" s="145" t="s">
        <v>282</v>
      </c>
      <c r="F44" s="137">
        <v>5000</v>
      </c>
      <c r="H44" s="137">
        <f t="shared" si="0"/>
        <v>1720510.0575199472</v>
      </c>
      <c r="M44" s="358">
        <v>50000</v>
      </c>
      <c r="N44" s="358">
        <v>23000</v>
      </c>
    </row>
    <row r="45" spans="2:14" ht="15" customHeight="1">
      <c r="B45" s="136">
        <v>42502</v>
      </c>
      <c r="D45" s="145" t="s">
        <v>286</v>
      </c>
      <c r="F45" s="137">
        <v>25000</v>
      </c>
      <c r="H45" s="137">
        <f t="shared" si="0"/>
        <v>1745510.0575199472</v>
      </c>
      <c r="M45" s="358">
        <v>100000</v>
      </c>
      <c r="N45" s="358">
        <v>27000</v>
      </c>
    </row>
    <row r="46" spans="2:14">
      <c r="B46" s="136">
        <v>42502</v>
      </c>
      <c r="D46" s="145" t="s">
        <v>282</v>
      </c>
      <c r="F46" s="137">
        <v>10000</v>
      </c>
      <c r="H46" s="137">
        <f t="shared" si="0"/>
        <v>1755510.0575199472</v>
      </c>
      <c r="M46" s="358">
        <v>50000</v>
      </c>
      <c r="N46" s="358">
        <v>27000</v>
      </c>
    </row>
    <row r="47" spans="2:14">
      <c r="B47" s="136">
        <v>42534</v>
      </c>
      <c r="D47" s="145" t="s">
        <v>706</v>
      </c>
      <c r="F47" s="137">
        <v>30000</v>
      </c>
      <c r="H47" s="137">
        <f t="shared" si="0"/>
        <v>1785510.0575199472</v>
      </c>
      <c r="M47" s="358">
        <v>50000</v>
      </c>
      <c r="N47" s="358">
        <v>27000</v>
      </c>
    </row>
    <row r="48" spans="2:14">
      <c r="B48" s="356">
        <v>42591</v>
      </c>
      <c r="C48" s="324" t="s">
        <v>712</v>
      </c>
      <c r="D48" s="325"/>
      <c r="E48" s="325"/>
      <c r="F48" s="326">
        <v>35000</v>
      </c>
      <c r="H48" s="137">
        <f t="shared" si="0"/>
        <v>1820510.0575199472</v>
      </c>
      <c r="M48" s="358">
        <v>50000</v>
      </c>
      <c r="N48" s="358">
        <v>27000</v>
      </c>
    </row>
    <row r="49" spans="2:14">
      <c r="B49" s="356">
        <v>42622</v>
      </c>
      <c r="C49" s="324" t="s">
        <v>716</v>
      </c>
      <c r="D49" s="325"/>
      <c r="E49" s="325"/>
      <c r="F49" s="326">
        <v>35000</v>
      </c>
      <c r="H49" s="137">
        <f t="shared" si="0"/>
        <v>1855510.0575199472</v>
      </c>
      <c r="M49" s="358">
        <v>50000</v>
      </c>
      <c r="N49" s="358">
        <v>27000</v>
      </c>
    </row>
    <row r="50" spans="2:14">
      <c r="B50" s="136">
        <v>42685</v>
      </c>
      <c r="D50" s="325" t="s">
        <v>706</v>
      </c>
      <c r="F50" s="137">
        <v>35000</v>
      </c>
      <c r="H50" s="137">
        <f t="shared" si="0"/>
        <v>1890510.0575199472</v>
      </c>
      <c r="M50" s="358">
        <v>50000</v>
      </c>
      <c r="N50" s="358">
        <v>27000</v>
      </c>
    </row>
    <row r="51" spans="2:14">
      <c r="B51" s="136">
        <v>42712</v>
      </c>
      <c r="D51" s="325" t="s">
        <v>723</v>
      </c>
      <c r="F51" s="137">
        <v>85000</v>
      </c>
      <c r="H51" s="137">
        <f t="shared" si="0"/>
        <v>1975510.0575199472</v>
      </c>
      <c r="M51" s="358">
        <v>100000</v>
      </c>
      <c r="N51" s="358">
        <v>27000</v>
      </c>
    </row>
    <row r="52" spans="2:14">
      <c r="B52" s="136">
        <v>42735</v>
      </c>
      <c r="D52" s="325" t="s">
        <v>726</v>
      </c>
      <c r="F52" s="137">
        <v>96621.500241963382</v>
      </c>
      <c r="H52" s="137">
        <f t="shared" si="0"/>
        <v>2072131.5577619106</v>
      </c>
      <c r="M52" s="358">
        <v>50000</v>
      </c>
      <c r="N52" s="358">
        <v>27000</v>
      </c>
    </row>
    <row r="53" spans="2:14">
      <c r="B53" s="356">
        <v>42745</v>
      </c>
      <c r="C53" s="324" t="s">
        <v>729</v>
      </c>
      <c r="D53" s="325"/>
      <c r="F53" s="326">
        <v>35000</v>
      </c>
      <c r="H53" s="137">
        <f t="shared" si="0"/>
        <v>2107131.5577619104</v>
      </c>
      <c r="M53" s="358">
        <v>50000</v>
      </c>
      <c r="N53" s="358">
        <v>27000</v>
      </c>
    </row>
    <row r="54" spans="2:14">
      <c r="B54" s="356">
        <v>42779</v>
      </c>
      <c r="C54" s="324" t="s">
        <v>729</v>
      </c>
      <c r="D54" s="325"/>
      <c r="F54" s="326">
        <v>35000</v>
      </c>
      <c r="H54" s="137">
        <f t="shared" si="0"/>
        <v>2142131.5577619104</v>
      </c>
      <c r="M54" s="358">
        <v>50000</v>
      </c>
      <c r="N54" s="358">
        <v>50000</v>
      </c>
    </row>
    <row r="55" spans="2:14" ht="13.5" customHeight="1">
      <c r="B55" s="136">
        <v>42810</v>
      </c>
      <c r="C55" s="168" t="s">
        <v>747</v>
      </c>
      <c r="F55" s="137">
        <v>62000</v>
      </c>
      <c r="H55" s="137">
        <f t="shared" si="0"/>
        <v>2204131.5577619104</v>
      </c>
      <c r="M55" s="358">
        <v>50000</v>
      </c>
      <c r="N55" s="137"/>
    </row>
    <row r="56" spans="2:14" ht="13.5" customHeight="1">
      <c r="B56" s="136">
        <v>42838</v>
      </c>
      <c r="D56" s="145" t="s">
        <v>706</v>
      </c>
      <c r="F56" s="137">
        <v>82000</v>
      </c>
      <c r="H56" s="137">
        <f t="shared" si="0"/>
        <v>2286131.5577619104</v>
      </c>
      <c r="M56" s="358">
        <v>50000</v>
      </c>
    </row>
    <row r="57" spans="2:14" ht="13.5" customHeight="1">
      <c r="B57" s="136">
        <v>42877</v>
      </c>
      <c r="D57" s="145" t="s">
        <v>706</v>
      </c>
      <c r="F57" s="137">
        <v>82000</v>
      </c>
      <c r="H57" s="137">
        <f t="shared" si="0"/>
        <v>2368131.5577619104</v>
      </c>
      <c r="M57" s="358">
        <v>50000</v>
      </c>
    </row>
    <row r="58" spans="2:14" ht="13.5" customHeight="1">
      <c r="B58" s="136">
        <v>42892</v>
      </c>
      <c r="D58" s="145" t="s">
        <v>706</v>
      </c>
      <c r="F58" s="137">
        <v>75000</v>
      </c>
      <c r="H58" s="137">
        <f t="shared" si="0"/>
        <v>2443131.5577619104</v>
      </c>
      <c r="M58" s="358">
        <v>50000</v>
      </c>
    </row>
    <row r="59" spans="2:14" ht="13.5" customHeight="1">
      <c r="B59" s="136">
        <v>42917</v>
      </c>
      <c r="D59" s="168" t="s">
        <v>772</v>
      </c>
      <c r="G59" s="137">
        <v>200000</v>
      </c>
      <c r="H59" s="137">
        <f t="shared" si="0"/>
        <v>2243131.5577619104</v>
      </c>
      <c r="M59" s="358">
        <v>50000</v>
      </c>
    </row>
    <row r="60" spans="2:14" ht="13.5" customHeight="1">
      <c r="B60" s="136">
        <v>42961</v>
      </c>
      <c r="D60" s="168" t="s">
        <v>706</v>
      </c>
      <c r="F60" s="137">
        <v>132000</v>
      </c>
      <c r="H60" s="137">
        <f t="shared" si="0"/>
        <v>2375131.5577619104</v>
      </c>
      <c r="M60" s="358">
        <v>50000</v>
      </c>
    </row>
    <row r="61" spans="2:14" ht="13.5" customHeight="1">
      <c r="B61" s="136">
        <v>42989</v>
      </c>
      <c r="D61" s="168" t="s">
        <v>786</v>
      </c>
      <c r="F61" s="137">
        <f>50000+32000</f>
        <v>82000</v>
      </c>
      <c r="H61" s="137">
        <f t="shared" si="0"/>
        <v>2457131.5577619104</v>
      </c>
      <c r="M61" s="137">
        <v>200000</v>
      </c>
      <c r="N61" s="137">
        <v>204000</v>
      </c>
    </row>
    <row r="62" spans="2:14" ht="13.5" customHeight="1">
      <c r="B62" s="136">
        <v>43021</v>
      </c>
      <c r="D62" s="168" t="s">
        <v>786</v>
      </c>
      <c r="F62" s="137">
        <v>82000</v>
      </c>
      <c r="H62" s="137">
        <f t="shared" si="0"/>
        <v>2539131.5577619104</v>
      </c>
      <c r="M62" s="358">
        <v>50000</v>
      </c>
      <c r="N62" s="358">
        <v>27000</v>
      </c>
    </row>
    <row r="63" spans="2:14" ht="13.5" customHeight="1">
      <c r="B63" s="136">
        <v>43052</v>
      </c>
      <c r="D63" s="168" t="s">
        <v>786</v>
      </c>
      <c r="F63" s="137">
        <v>82000</v>
      </c>
      <c r="H63" s="137">
        <f t="shared" si="0"/>
        <v>2621131.5577619104</v>
      </c>
    </row>
    <row r="64" spans="2:14" ht="13.5" customHeight="1">
      <c r="B64" s="136">
        <v>43097</v>
      </c>
      <c r="D64" s="168" t="s">
        <v>786</v>
      </c>
      <c r="F64" s="137">
        <v>82000</v>
      </c>
      <c r="H64" s="137">
        <f t="shared" si="0"/>
        <v>2703131.5577619104</v>
      </c>
    </row>
    <row r="65" spans="2:8" ht="13.5" customHeight="1">
      <c r="B65" s="136">
        <v>43116</v>
      </c>
      <c r="D65" s="168" t="s">
        <v>786</v>
      </c>
      <c r="E65" s="145" t="s">
        <v>852</v>
      </c>
      <c r="F65" s="137">
        <v>82000</v>
      </c>
      <c r="H65" s="137">
        <f t="shared" si="0"/>
        <v>2785131.5577619104</v>
      </c>
    </row>
    <row r="66" spans="2:8" ht="13.5" customHeight="1">
      <c r="B66" s="136">
        <v>43150</v>
      </c>
      <c r="D66" s="168" t="s">
        <v>786</v>
      </c>
      <c r="E66" s="145" t="s">
        <v>865</v>
      </c>
      <c r="F66" s="137">
        <v>82000</v>
      </c>
      <c r="H66" s="137">
        <f t="shared" si="0"/>
        <v>2867131.5577619104</v>
      </c>
    </row>
    <row r="67" spans="2:8" ht="13.5" customHeight="1">
      <c r="B67" s="136">
        <v>43172</v>
      </c>
      <c r="D67" s="168" t="s">
        <v>786</v>
      </c>
      <c r="E67" s="145" t="s">
        <v>868</v>
      </c>
      <c r="F67" s="137">
        <v>70000</v>
      </c>
      <c r="H67" s="137">
        <f t="shared" si="0"/>
        <v>2937131.5577619104</v>
      </c>
    </row>
    <row r="68" spans="2:8" ht="13.5" customHeight="1">
      <c r="B68" s="136">
        <v>43207</v>
      </c>
      <c r="D68" s="168" t="s">
        <v>786</v>
      </c>
      <c r="E68" s="145" t="s">
        <v>875</v>
      </c>
      <c r="F68" s="137">
        <v>82000</v>
      </c>
      <c r="H68" s="137">
        <f t="shared" si="0"/>
        <v>3019131.5577619104</v>
      </c>
    </row>
    <row r="69" spans="2:8" ht="13.5" customHeight="1">
      <c r="B69" s="136">
        <v>43251</v>
      </c>
      <c r="D69" s="168" t="s">
        <v>786</v>
      </c>
      <c r="E69" s="145" t="s">
        <v>883</v>
      </c>
      <c r="F69" s="137">
        <v>75000</v>
      </c>
      <c r="H69" s="137">
        <f t="shared" si="0"/>
        <v>3094131.5577619104</v>
      </c>
    </row>
    <row r="70" spans="2:8" ht="13.5" customHeight="1">
      <c r="B70" s="136">
        <v>43272</v>
      </c>
      <c r="D70" s="168" t="s">
        <v>786</v>
      </c>
      <c r="E70" s="145" t="s">
        <v>889</v>
      </c>
      <c r="F70" s="137">
        <v>70000</v>
      </c>
      <c r="H70" s="137">
        <f t="shared" si="0"/>
        <v>3164131.5577619104</v>
      </c>
    </row>
    <row r="71" spans="2:8" ht="13.5" customHeight="1">
      <c r="B71" s="136">
        <v>43298</v>
      </c>
      <c r="D71" s="168" t="s">
        <v>786</v>
      </c>
      <c r="E71" s="145" t="s">
        <v>895</v>
      </c>
      <c r="F71" s="137">
        <v>82000</v>
      </c>
      <c r="H71" s="137">
        <f t="shared" si="0"/>
        <v>3246131.5577619104</v>
      </c>
    </row>
    <row r="72" spans="2:8" ht="13.5" customHeight="1">
      <c r="B72" s="136">
        <v>43333</v>
      </c>
      <c r="D72" s="168" t="s">
        <v>786</v>
      </c>
      <c r="E72" s="145" t="s">
        <v>902</v>
      </c>
      <c r="F72" s="137">
        <v>82000</v>
      </c>
      <c r="H72" s="137">
        <f t="shared" si="0"/>
        <v>3328131.5577619104</v>
      </c>
    </row>
    <row r="73" spans="2:8" ht="13.5" customHeight="1">
      <c r="B73" s="136">
        <v>43367</v>
      </c>
      <c r="D73" s="168" t="s">
        <v>786</v>
      </c>
      <c r="E73" s="502" t="s">
        <v>910</v>
      </c>
      <c r="F73" s="137">
        <v>82000</v>
      </c>
      <c r="H73" s="137">
        <f t="shared" si="0"/>
        <v>3410131.5577619104</v>
      </c>
    </row>
    <row r="74" spans="2:8" ht="13.5" customHeight="1">
      <c r="B74" s="136">
        <v>43397</v>
      </c>
      <c r="D74" s="168" t="s">
        <v>786</v>
      </c>
      <c r="E74" s="504" t="s">
        <v>916</v>
      </c>
      <c r="F74" s="137">
        <v>82000</v>
      </c>
      <c r="H74" s="137">
        <f t="shared" si="0"/>
        <v>3492131.5577619104</v>
      </c>
    </row>
    <row r="75" spans="2:8" ht="13.5" customHeight="1">
      <c r="B75" s="136">
        <v>43448</v>
      </c>
      <c r="D75" s="168" t="s">
        <v>706</v>
      </c>
      <c r="E75" s="157" t="s">
        <v>937</v>
      </c>
      <c r="F75" s="137">
        <v>150000</v>
      </c>
      <c r="H75" s="137">
        <f t="shared" si="0"/>
        <v>3642131.5577619104</v>
      </c>
    </row>
    <row r="76" spans="2:8" ht="13.5" customHeight="1">
      <c r="B76" s="136">
        <v>43494</v>
      </c>
      <c r="D76" s="168" t="s">
        <v>706</v>
      </c>
      <c r="F76" s="137">
        <v>82000</v>
      </c>
      <c r="H76" s="137">
        <f t="shared" si="0"/>
        <v>3724131.5577619104</v>
      </c>
    </row>
    <row r="77" spans="2:8" ht="13.5" customHeight="1">
      <c r="B77" s="136">
        <v>43524</v>
      </c>
      <c r="D77" s="168" t="s">
        <v>706</v>
      </c>
      <c r="F77" s="137">
        <v>82000</v>
      </c>
      <c r="H77" s="137">
        <f t="shared" si="0"/>
        <v>3806131.5577619104</v>
      </c>
    </row>
    <row r="78" spans="2:8" ht="13.5" customHeight="1">
      <c r="B78" s="136">
        <v>43542</v>
      </c>
      <c r="D78" s="168" t="s">
        <v>706</v>
      </c>
      <c r="F78" s="137">
        <v>82000</v>
      </c>
      <c r="H78" s="137">
        <f t="shared" si="0"/>
        <v>3888131.5577619104</v>
      </c>
    </row>
    <row r="79" spans="2:8" ht="13.5" customHeight="1">
      <c r="B79" s="136">
        <v>43564</v>
      </c>
      <c r="D79" s="168" t="s">
        <v>706</v>
      </c>
      <c r="F79" s="137">
        <v>82000</v>
      </c>
      <c r="H79" s="137">
        <f t="shared" si="0"/>
        <v>3970131.5577619104</v>
      </c>
    </row>
    <row r="80" spans="2:8" ht="13.5" customHeight="1">
      <c r="B80" s="136">
        <v>43595</v>
      </c>
      <c r="D80" s="168" t="s">
        <v>706</v>
      </c>
      <c r="F80" s="137">
        <v>73000</v>
      </c>
      <c r="H80" s="137">
        <f t="shared" si="0"/>
        <v>4043131.5577619104</v>
      </c>
    </row>
    <row r="81" spans="2:8" ht="13.5" customHeight="1">
      <c r="B81" s="136">
        <v>43664</v>
      </c>
      <c r="D81" s="168" t="s">
        <v>706</v>
      </c>
      <c r="F81" s="137">
        <v>127000</v>
      </c>
      <c r="H81" s="137">
        <f t="shared" si="0"/>
        <v>4170131.5577619104</v>
      </c>
    </row>
    <row r="82" spans="2:8" ht="13.5" customHeight="1">
      <c r="B82" s="136">
        <v>43692</v>
      </c>
      <c r="D82" s="168" t="s">
        <v>706</v>
      </c>
      <c r="F82" s="137">
        <v>77000</v>
      </c>
      <c r="H82" s="137">
        <f t="shared" si="0"/>
        <v>4247131.5577619104</v>
      </c>
    </row>
    <row r="83" spans="2:8">
      <c r="B83" s="136">
        <v>43712</v>
      </c>
      <c r="D83" s="168" t="s">
        <v>706</v>
      </c>
      <c r="F83" s="137">
        <v>77000</v>
      </c>
      <c r="H83" s="137">
        <f t="shared" si="0"/>
        <v>4324131.5577619104</v>
      </c>
    </row>
    <row r="84" spans="2:8">
      <c r="B84" s="136">
        <v>43754</v>
      </c>
      <c r="D84" s="168" t="s">
        <v>706</v>
      </c>
      <c r="F84" s="137">
        <v>77000</v>
      </c>
      <c r="H84" s="137">
        <f t="shared" si="0"/>
        <v>4401131.5577619104</v>
      </c>
    </row>
    <row r="85" spans="2:8">
      <c r="B85" s="136">
        <v>43781</v>
      </c>
      <c r="D85" s="168" t="s">
        <v>706</v>
      </c>
      <c r="F85" s="137">
        <v>77000</v>
      </c>
      <c r="H85" s="137">
        <f t="shared" ref="H85:H93" si="1">H84+F85-G85</f>
        <v>4478131.5577619104</v>
      </c>
    </row>
    <row r="86" spans="2:8">
      <c r="B86" s="136">
        <v>43809</v>
      </c>
      <c r="D86" s="168" t="s">
        <v>706</v>
      </c>
      <c r="F86" s="137">
        <v>77000</v>
      </c>
      <c r="H86" s="137">
        <f t="shared" si="1"/>
        <v>4555131.5577619104</v>
      </c>
    </row>
    <row r="87" spans="2:8">
      <c r="B87" s="136">
        <v>43845</v>
      </c>
      <c r="D87" s="168" t="s">
        <v>706</v>
      </c>
      <c r="F87" s="137">
        <v>77000</v>
      </c>
      <c r="H87" s="137">
        <f t="shared" si="1"/>
        <v>4632131.5577619104</v>
      </c>
    </row>
    <row r="88" spans="2:8">
      <c r="B88" s="136">
        <v>43865</v>
      </c>
      <c r="D88" s="168" t="s">
        <v>706</v>
      </c>
      <c r="F88" s="137">
        <v>77000</v>
      </c>
      <c r="H88" s="137">
        <f t="shared" si="1"/>
        <v>4709131.5577619104</v>
      </c>
    </row>
    <row r="89" spans="2:8">
      <c r="B89" s="136">
        <v>43892</v>
      </c>
      <c r="D89" s="168" t="s">
        <v>706</v>
      </c>
      <c r="F89" s="137">
        <v>77000</v>
      </c>
      <c r="H89" s="137">
        <f t="shared" si="1"/>
        <v>4786131.5577619104</v>
      </c>
    </row>
    <row r="90" spans="2:8">
      <c r="B90" s="136">
        <v>43928</v>
      </c>
      <c r="D90" s="168" t="s">
        <v>706</v>
      </c>
      <c r="F90" s="137">
        <v>100000</v>
      </c>
      <c r="H90" s="137">
        <f t="shared" si="1"/>
        <v>4886131.5577619104</v>
      </c>
    </row>
    <row r="91" spans="2:8">
      <c r="B91" s="136">
        <v>44056</v>
      </c>
      <c r="D91" s="168" t="s">
        <v>1152</v>
      </c>
      <c r="F91" s="137">
        <v>200000</v>
      </c>
      <c r="H91" s="137">
        <f t="shared" si="1"/>
        <v>5086131.5577619104</v>
      </c>
    </row>
    <row r="92" spans="2:8">
      <c r="B92" s="136">
        <v>44056</v>
      </c>
      <c r="D92" s="168" t="s">
        <v>286</v>
      </c>
      <c r="F92" s="137">
        <v>204000</v>
      </c>
      <c r="H92" s="137">
        <f t="shared" si="1"/>
        <v>5290131.5577619104</v>
      </c>
    </row>
    <row r="93" spans="2:8">
      <c r="B93" s="136">
        <v>44075</v>
      </c>
      <c r="D93" s="168" t="s">
        <v>1157</v>
      </c>
      <c r="F93" s="137">
        <v>77000</v>
      </c>
      <c r="H93" s="137">
        <f t="shared" si="1"/>
        <v>5367131.5577619104</v>
      </c>
    </row>
    <row r="94" spans="2:8">
      <c r="D94" s="168"/>
    </row>
    <row r="95" spans="2:8">
      <c r="D95" s="168"/>
    </row>
    <row r="96" spans="2:8">
      <c r="D96" s="168"/>
    </row>
    <row r="97" spans="4:15">
      <c r="D97" s="168"/>
    </row>
    <row r="98" spans="4:15">
      <c r="D98" s="168"/>
    </row>
    <row r="102" spans="4:15" ht="15" customHeight="1">
      <c r="D102" s="468" t="s">
        <v>307</v>
      </c>
      <c r="F102" s="469">
        <f>SUM(F15:F101)</f>
        <v>5567131.5577619104</v>
      </c>
      <c r="G102" s="469">
        <f>SUM(G15:G101)</f>
        <v>200000</v>
      </c>
      <c r="H102" s="137">
        <f>F102-G102</f>
        <v>5367131.5577619104</v>
      </c>
      <c r="L102" s="358">
        <f>SUM(L3:L11)</f>
        <v>500000</v>
      </c>
      <c r="M102" s="358">
        <f>SUM(M3:M101)</f>
        <v>2980000</v>
      </c>
      <c r="N102" s="358">
        <f>SUM(N3:N100)</f>
        <v>1693000</v>
      </c>
      <c r="O102" s="358">
        <f>SUM(O3:O11)</f>
        <v>194131.55776191078</v>
      </c>
    </row>
    <row r="103" spans="4:15">
      <c r="O103" s="358">
        <f>SUM(L102:O102)</f>
        <v>5367131.5577619104</v>
      </c>
    </row>
  </sheetData>
  <mergeCells count="1">
    <mergeCell ref="L1:O1"/>
  </mergeCells>
  <phoneticPr fontId="7" type="noConversion"/>
  <pageMargins left="0.31496062992125984" right="0.74803149606299213" top="0.59055118110236227" bottom="0.98425196850393704" header="0.51181102362204722" footer="0.51181102362204722"/>
  <pageSetup scale="85" orientation="landscape" horizontalDpi="4294967293" verticalDpi="0" r:id="rId1"/>
  <headerFooter alignWithMargins="0"/>
  <legacyDrawing r:id="rId2"/>
  <oleObjects>
    <oleObject progId="CorelDRAW.Graphic.11" shapeId="21505" r:id="rId3"/>
    <oleObject progId="CorelDRAW.Graphic.11" shapeId="21506" r:id="rId4"/>
  </oleObjects>
</worksheet>
</file>

<file path=xl/worksheets/sheet80.xml><?xml version="1.0" encoding="utf-8"?>
<worksheet xmlns="http://schemas.openxmlformats.org/spreadsheetml/2006/main" xmlns:r="http://schemas.openxmlformats.org/officeDocument/2006/relationships">
  <sheetPr codeName="Sheet1">
    <tabColor rgb="FFFFC000"/>
  </sheetPr>
  <dimension ref="B1:P51"/>
  <sheetViews>
    <sheetView workbookViewId="0">
      <selection activeCell="D3" sqref="D3"/>
    </sheetView>
  </sheetViews>
  <sheetFormatPr defaultRowHeight="12.75"/>
  <cols>
    <col min="1" max="1" width="1.5703125" customWidth="1"/>
    <col min="2" max="2" width="10.140625" style="19" customWidth="1"/>
    <col min="3" max="3" width="1.5703125" customWidth="1"/>
    <col min="5" max="5" width="16.42578125" customWidth="1"/>
    <col min="6" max="6" width="12" style="21" customWidth="1"/>
    <col min="7" max="7" width="10.140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826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73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385</v>
      </c>
      <c r="P2" s="91" t="s">
        <v>341</v>
      </c>
    </row>
    <row r="3" spans="2:16">
      <c r="B3" s="19" t="s">
        <v>11</v>
      </c>
      <c r="C3" t="s">
        <v>3</v>
      </c>
      <c r="D3" s="25" t="str">
        <f>'DAFTAR ANGGT'!G21</f>
        <v>Ds. Ujung Pendok Tngh RT 09/03 Wdsr</v>
      </c>
      <c r="G3" s="18" t="s">
        <v>61</v>
      </c>
      <c r="H3" s="18" t="str">
        <f>'DAFTAR ANGGT'!F21</f>
        <v>081804699236</v>
      </c>
      <c r="L3" s="92">
        <f>F15</f>
        <v>200000</v>
      </c>
      <c r="M3" s="92">
        <f>F16</f>
        <v>20000</v>
      </c>
      <c r="N3" s="92">
        <v>0</v>
      </c>
      <c r="O3" s="92">
        <f>F17</f>
        <v>17464.325338901119</v>
      </c>
      <c r="P3" s="92">
        <f>F24</f>
        <v>0</v>
      </c>
    </row>
    <row r="4" spans="2:16">
      <c r="D4" t="s">
        <v>52</v>
      </c>
      <c r="G4" s="18" t="s">
        <v>107</v>
      </c>
      <c r="L4" s="30">
        <v>300000</v>
      </c>
      <c r="M4" s="92">
        <v>250000</v>
      </c>
      <c r="N4" s="92"/>
      <c r="O4" s="92">
        <f>F18</f>
        <v>23157.079072175129</v>
      </c>
    </row>
    <row r="5" spans="2:16">
      <c r="G5" s="18"/>
      <c r="M5" s="92"/>
      <c r="O5" s="21">
        <v>13348.609805447668</v>
      </c>
    </row>
    <row r="6" spans="2:16">
      <c r="G6" s="18" t="s">
        <v>54</v>
      </c>
      <c r="M6" s="92"/>
      <c r="O6" s="21">
        <v>10661.635198483193</v>
      </c>
    </row>
    <row r="7" spans="2:16">
      <c r="G7" s="24" t="s">
        <v>55</v>
      </c>
      <c r="M7" s="92"/>
      <c r="O7" s="342">
        <v>13921.233596425189</v>
      </c>
    </row>
    <row r="8" spans="2:16">
      <c r="G8" s="18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40611</v>
      </c>
      <c r="D15" t="s">
        <v>59</v>
      </c>
      <c r="F15" s="21">
        <v>200000</v>
      </c>
      <c r="G15" s="22"/>
      <c r="H15" s="21">
        <f>F15-G15</f>
        <v>200000</v>
      </c>
    </row>
    <row r="16" spans="2:16" ht="15" customHeight="1">
      <c r="B16" s="19">
        <v>40611</v>
      </c>
      <c r="D16" t="s">
        <v>102</v>
      </c>
      <c r="F16" s="21">
        <v>20000</v>
      </c>
      <c r="H16" s="21">
        <f>H15+F16-G16</f>
        <v>220000</v>
      </c>
    </row>
    <row r="17" spans="2:16" ht="15" customHeight="1">
      <c r="B17" s="19">
        <v>41274</v>
      </c>
      <c r="D17" t="s">
        <v>392</v>
      </c>
      <c r="F17" s="21">
        <v>17464.325338901119</v>
      </c>
      <c r="H17" s="21">
        <f>H16+F17-G17</f>
        <v>237464.32533890111</v>
      </c>
    </row>
    <row r="18" spans="2:16" ht="15" customHeight="1">
      <c r="B18" s="19">
        <v>41639</v>
      </c>
      <c r="D18" t="s">
        <v>499</v>
      </c>
      <c r="F18" s="21">
        <v>23157.079072175129</v>
      </c>
      <c r="H18" s="21">
        <f>H17+F18-G18</f>
        <v>260621.40441107625</v>
      </c>
    </row>
    <row r="19" spans="2:16" ht="15" customHeight="1">
      <c r="B19" s="336">
        <v>42004</v>
      </c>
      <c r="D19" t="s">
        <v>592</v>
      </c>
      <c r="F19" s="21">
        <v>13348.609805447668</v>
      </c>
      <c r="H19" s="21">
        <f t="shared" ref="H19:H22" si="0">H18+F19-G19</f>
        <v>273970.01421652391</v>
      </c>
    </row>
    <row r="20" spans="2:16" ht="15" customHeight="1">
      <c r="B20" s="336">
        <v>42369</v>
      </c>
      <c r="D20" t="s">
        <v>694</v>
      </c>
      <c r="F20" s="21">
        <v>10661.635198483193</v>
      </c>
      <c r="H20" s="21">
        <f t="shared" si="0"/>
        <v>284631.64941500709</v>
      </c>
    </row>
    <row r="21" spans="2:16" ht="15" customHeight="1">
      <c r="B21" s="336">
        <v>42735</v>
      </c>
      <c r="D21" t="s">
        <v>732</v>
      </c>
      <c r="F21" s="342">
        <v>13921.233596425189</v>
      </c>
      <c r="H21" s="21">
        <f t="shared" si="0"/>
        <v>298552.88301143231</v>
      </c>
    </row>
    <row r="22" spans="2:16" ht="15" customHeight="1">
      <c r="B22" s="19">
        <v>43046</v>
      </c>
      <c r="D22" t="s">
        <v>827</v>
      </c>
      <c r="F22" s="21">
        <v>550000</v>
      </c>
      <c r="H22" s="21">
        <f t="shared" si="0"/>
        <v>848552.88301143236</v>
      </c>
    </row>
    <row r="23" spans="2:16" ht="15" customHeight="1"/>
    <row r="24" spans="2:16" ht="15" customHeight="1"/>
    <row r="25" spans="2:16" ht="15" customHeight="1"/>
    <row r="26" spans="2:16" ht="15" customHeight="1"/>
    <row r="27" spans="2:16" ht="15" customHeight="1"/>
    <row r="28" spans="2:16" ht="15" customHeight="1"/>
    <row r="29" spans="2:16" ht="15" customHeight="1"/>
    <row r="30" spans="2:16" ht="15" customHeight="1"/>
    <row r="31" spans="2:16" ht="15" customHeight="1">
      <c r="L31" s="92">
        <f>SUM(L3:L11)</f>
        <v>500000</v>
      </c>
      <c r="M31" s="92">
        <f>SUM(M3:M11)</f>
        <v>270000</v>
      </c>
      <c r="N31" s="92">
        <f>SUM(N3:N11)</f>
        <v>0</v>
      </c>
      <c r="O31" s="92">
        <f>SUM(O3:O11)</f>
        <v>78552.883011432292</v>
      </c>
      <c r="P31" s="92">
        <f>SUM(P3:P11)</f>
        <v>0</v>
      </c>
    </row>
    <row r="32" spans="2:16" ht="15" customHeight="1">
      <c r="P32" s="92">
        <f>SUM(L31:P31)</f>
        <v>848552.88301143225</v>
      </c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51" spans="4:8" ht="15" customHeight="1">
      <c r="D51" s="76" t="s">
        <v>307</v>
      </c>
      <c r="E51" s="48"/>
      <c r="F51" s="53">
        <f>SUM(F15:F50)</f>
        <v>848552.88301143236</v>
      </c>
      <c r="G51" s="53">
        <f>SUM(G15:G50)</f>
        <v>0</v>
      </c>
      <c r="H51" s="77">
        <f>F51-G51</f>
        <v>848552.88301143236</v>
      </c>
    </row>
  </sheetData>
  <mergeCells count="1">
    <mergeCell ref="L1:P1"/>
  </mergeCells>
  <phoneticPr fontId="7" type="noConversion"/>
  <pageMargins left="0" right="0.75" top="0.42" bottom="1" header="0.31" footer="0.5"/>
  <pageSetup orientation="landscape" horizontalDpi="4294967293" verticalDpi="0" r:id="rId1"/>
  <headerFooter alignWithMargins="0"/>
  <legacyDrawing r:id="rId2"/>
  <oleObjects>
    <oleObject progId="CorelDRAW.Graphic.11" shapeId="18433" r:id="rId3"/>
    <oleObject progId="CorelDRAW.Graphic.11" shapeId="18434" r:id="rId4"/>
  </oleObjects>
</worksheet>
</file>

<file path=xl/worksheets/sheet81.xml><?xml version="1.0" encoding="utf-8"?>
<worksheet xmlns="http://schemas.openxmlformats.org/spreadsheetml/2006/main" xmlns:r="http://schemas.openxmlformats.org/officeDocument/2006/relationships">
  <sheetPr>
    <tabColor rgb="FFFFC000"/>
  </sheetPr>
  <dimension ref="B1:P49"/>
  <sheetViews>
    <sheetView zoomScale="90" zoomScaleNormal="90" workbookViewId="0">
      <selection activeCell="M15" sqref="M15"/>
    </sheetView>
  </sheetViews>
  <sheetFormatPr defaultRowHeight="12.75"/>
  <cols>
    <col min="1" max="1" width="0.7109375" customWidth="1"/>
    <col min="2" max="2" width="11.28515625" style="336" customWidth="1"/>
    <col min="3" max="3" width="1.5703125" customWidth="1"/>
    <col min="5" max="5" width="23.28515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4" width="14.140625" style="156" customWidth="1"/>
    <col min="15" max="15" width="14.140625" style="30" customWidth="1"/>
    <col min="16" max="16" width="17.140625" style="30" customWidth="1"/>
  </cols>
  <sheetData>
    <row r="1" spans="2:16">
      <c r="B1" s="336" t="s">
        <v>49</v>
      </c>
      <c r="C1" t="s">
        <v>3</v>
      </c>
      <c r="D1" s="55" t="s">
        <v>740</v>
      </c>
      <c r="E1" s="55" t="s">
        <v>739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336" t="s">
        <v>50</v>
      </c>
      <c r="C2" t="s">
        <v>3</v>
      </c>
      <c r="D2" s="158" t="s">
        <v>188</v>
      </c>
      <c r="G2" s="18" t="s">
        <v>53</v>
      </c>
      <c r="H2" s="159"/>
      <c r="L2" s="155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>
      <c r="B3" s="336" t="s">
        <v>11</v>
      </c>
      <c r="C3" t="s">
        <v>3</v>
      </c>
      <c r="D3" s="25" t="s">
        <v>741</v>
      </c>
      <c r="G3" s="18" t="s">
        <v>61</v>
      </c>
      <c r="H3" s="292"/>
      <c r="L3" s="322">
        <v>200000</v>
      </c>
      <c r="M3" s="156">
        <v>50000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42787</v>
      </c>
      <c r="L4" s="156">
        <v>100000</v>
      </c>
      <c r="M4" s="156">
        <v>50000</v>
      </c>
      <c r="O4" s="92"/>
    </row>
    <row r="5" spans="2:16">
      <c r="G5" s="18"/>
      <c r="L5" s="156">
        <v>50000</v>
      </c>
      <c r="M5" s="156">
        <v>50000</v>
      </c>
    </row>
    <row r="6" spans="2:16">
      <c r="C6" s="686" t="s">
        <v>454</v>
      </c>
      <c r="D6" s="686"/>
      <c r="E6" s="686"/>
      <c r="G6" s="89" t="s">
        <v>381</v>
      </c>
      <c r="H6" s="142">
        <f>H4</f>
        <v>42787</v>
      </c>
      <c r="L6" s="156">
        <v>50000</v>
      </c>
      <c r="M6" s="156">
        <v>50000</v>
      </c>
    </row>
    <row r="7" spans="2:16">
      <c r="G7" s="24" t="s">
        <v>55</v>
      </c>
      <c r="L7" s="156">
        <v>100000</v>
      </c>
      <c r="M7" s="156">
        <v>50000</v>
      </c>
    </row>
    <row r="8" spans="2:16">
      <c r="G8" s="18"/>
      <c r="M8" s="156">
        <v>50000</v>
      </c>
    </row>
    <row r="9" spans="2:16">
      <c r="M9" s="156">
        <v>-200000</v>
      </c>
    </row>
    <row r="10" spans="2:16">
      <c r="M10" s="156">
        <v>50000</v>
      </c>
    </row>
    <row r="11" spans="2:16">
      <c r="G11" s="18" t="s">
        <v>56</v>
      </c>
      <c r="M11" s="156">
        <v>100000</v>
      </c>
    </row>
    <row r="12" spans="2:16">
      <c r="M12" s="156">
        <v>100000</v>
      </c>
    </row>
    <row r="13" spans="2:16">
      <c r="M13" s="156">
        <v>-100000</v>
      </c>
    </row>
    <row r="14" spans="2:16">
      <c r="B14" s="336" t="s">
        <v>57</v>
      </c>
      <c r="D14" t="s">
        <v>58</v>
      </c>
      <c r="F14" s="20" t="s">
        <v>87</v>
      </c>
      <c r="G14" s="20" t="s">
        <v>88</v>
      </c>
      <c r="H14" s="20" t="s">
        <v>89</v>
      </c>
      <c r="M14" s="156">
        <v>-200000</v>
      </c>
    </row>
    <row r="15" spans="2:16" ht="15" customHeight="1">
      <c r="B15" s="336">
        <v>42787</v>
      </c>
      <c r="D15" s="55" t="s">
        <v>286</v>
      </c>
      <c r="F15" s="21">
        <v>50000</v>
      </c>
      <c r="H15" s="21">
        <f>F15-G15</f>
        <v>50000</v>
      </c>
    </row>
    <row r="16" spans="2:16" ht="15" customHeight="1">
      <c r="B16" s="336">
        <v>42805</v>
      </c>
      <c r="D16" s="55" t="s">
        <v>746</v>
      </c>
      <c r="F16" s="21">
        <v>50000</v>
      </c>
      <c r="H16" s="21">
        <f>H15+F16-G16</f>
        <v>100000</v>
      </c>
    </row>
    <row r="17" spans="2:16" ht="15" customHeight="1">
      <c r="B17" s="336">
        <v>42877</v>
      </c>
      <c r="D17" s="55" t="s">
        <v>286</v>
      </c>
      <c r="F17" s="21">
        <v>50000</v>
      </c>
      <c r="H17" s="21">
        <f>H16+F17-G17</f>
        <v>150000</v>
      </c>
    </row>
    <row r="18" spans="2:16" ht="15" customHeight="1">
      <c r="B18" s="337">
        <v>42898</v>
      </c>
      <c r="D18" s="55" t="s">
        <v>286</v>
      </c>
      <c r="F18" s="21">
        <v>50000</v>
      </c>
      <c r="H18" s="21">
        <f>H17+F18-G18</f>
        <v>200000</v>
      </c>
    </row>
    <row r="19" spans="2:16" ht="15" customHeight="1">
      <c r="B19" s="336">
        <v>42996</v>
      </c>
      <c r="C19" s="55" t="s">
        <v>286</v>
      </c>
      <c r="D19" s="105" t="s">
        <v>779</v>
      </c>
      <c r="E19" s="55"/>
      <c r="F19" s="326">
        <v>50000</v>
      </c>
      <c r="H19" s="21">
        <f t="shared" ref="H19:H29" si="0">H18+F19-G19</f>
        <v>250000</v>
      </c>
    </row>
    <row r="20" spans="2:16" ht="15" customHeight="1">
      <c r="B20" s="337">
        <v>43033</v>
      </c>
      <c r="D20" s="55" t="s">
        <v>779</v>
      </c>
      <c r="F20" s="21">
        <v>50000</v>
      </c>
      <c r="H20" s="21">
        <f t="shared" si="0"/>
        <v>300000</v>
      </c>
    </row>
    <row r="21" spans="2:16" ht="15" customHeight="1">
      <c r="B21" s="337">
        <v>42917</v>
      </c>
      <c r="D21" s="55" t="s">
        <v>803</v>
      </c>
      <c r="F21" s="21">
        <v>200000</v>
      </c>
      <c r="G21" s="21">
        <v>200000</v>
      </c>
      <c r="H21" s="21">
        <f t="shared" si="0"/>
        <v>300000</v>
      </c>
    </row>
    <row r="22" spans="2:16" ht="15" customHeight="1">
      <c r="B22" s="337">
        <v>43082</v>
      </c>
      <c r="D22" s="55" t="s">
        <v>837</v>
      </c>
      <c r="F22" s="21">
        <v>100000</v>
      </c>
      <c r="H22" s="21">
        <f t="shared" si="0"/>
        <v>400000</v>
      </c>
    </row>
    <row r="23" spans="2:16" ht="15" customHeight="1">
      <c r="B23" s="337">
        <v>43105</v>
      </c>
      <c r="D23" s="55" t="s">
        <v>837</v>
      </c>
      <c r="F23" s="21">
        <v>50000</v>
      </c>
      <c r="H23" s="21">
        <f t="shared" si="0"/>
        <v>450000</v>
      </c>
    </row>
    <row r="24" spans="2:16" ht="15" customHeight="1">
      <c r="B24" s="337">
        <v>43114</v>
      </c>
      <c r="D24" s="55" t="s">
        <v>837</v>
      </c>
      <c r="F24" s="21">
        <v>50000</v>
      </c>
      <c r="H24" s="21">
        <f t="shared" si="0"/>
        <v>500000</v>
      </c>
    </row>
    <row r="25" spans="2:16" ht="15" customHeight="1">
      <c r="B25" s="337">
        <v>43114</v>
      </c>
      <c r="D25" s="55" t="s">
        <v>286</v>
      </c>
      <c r="F25" s="21">
        <v>50000</v>
      </c>
      <c r="H25" s="21">
        <f t="shared" si="0"/>
        <v>550000</v>
      </c>
    </row>
    <row r="26" spans="2:16" ht="15" customHeight="1">
      <c r="B26" s="337">
        <v>43300</v>
      </c>
      <c r="D26" s="55" t="s">
        <v>896</v>
      </c>
      <c r="F26" s="21">
        <v>100000</v>
      </c>
      <c r="H26" s="21">
        <f t="shared" si="0"/>
        <v>650000</v>
      </c>
    </row>
    <row r="27" spans="2:16" ht="15" customHeight="1">
      <c r="B27" s="337">
        <v>43342</v>
      </c>
      <c r="D27" s="55" t="s">
        <v>907</v>
      </c>
      <c r="F27" s="21">
        <v>100000</v>
      </c>
      <c r="H27" s="21">
        <f t="shared" si="0"/>
        <v>750000</v>
      </c>
    </row>
    <row r="28" spans="2:16" ht="15" customHeight="1">
      <c r="B28" s="337">
        <v>43466</v>
      </c>
      <c r="D28" s="55" t="s">
        <v>803</v>
      </c>
      <c r="F28" s="21">
        <v>100000</v>
      </c>
      <c r="G28" s="21">
        <v>100000</v>
      </c>
      <c r="H28" s="21">
        <f t="shared" si="0"/>
        <v>750000</v>
      </c>
    </row>
    <row r="29" spans="2:16" ht="15" customHeight="1">
      <c r="B29" s="337">
        <v>43466</v>
      </c>
      <c r="D29" s="55" t="s">
        <v>965</v>
      </c>
      <c r="G29" s="21">
        <v>200000</v>
      </c>
      <c r="H29" s="21">
        <f t="shared" si="0"/>
        <v>550000</v>
      </c>
    </row>
    <row r="30" spans="2:16" ht="15" customHeight="1">
      <c r="B30"/>
    </row>
    <row r="31" spans="2:16">
      <c r="B31"/>
      <c r="F31"/>
      <c r="G31"/>
      <c r="H31"/>
      <c r="L31" s="291"/>
      <c r="M31" s="291"/>
      <c r="N31" s="291"/>
      <c r="O31"/>
      <c r="P31"/>
    </row>
    <row r="32" spans="2:16">
      <c r="B32"/>
      <c r="F32"/>
      <c r="G32"/>
      <c r="H32"/>
      <c r="L32" s="291"/>
      <c r="M32" s="291"/>
      <c r="N32" s="291"/>
      <c r="O32"/>
      <c r="P32"/>
    </row>
    <row r="33" spans="2:16">
      <c r="B33"/>
      <c r="F33"/>
      <c r="G33"/>
      <c r="H33"/>
      <c r="L33" s="291"/>
      <c r="M33" s="291"/>
      <c r="N33" s="291"/>
      <c r="O33"/>
      <c r="P33"/>
    </row>
    <row r="34" spans="2:16">
      <c r="B34"/>
      <c r="F34"/>
      <c r="G34"/>
      <c r="H34"/>
      <c r="L34" s="291"/>
      <c r="M34" s="291"/>
      <c r="N34" s="291"/>
      <c r="O34"/>
      <c r="P34"/>
    </row>
    <row r="35" spans="2:16">
      <c r="B35"/>
      <c r="F35"/>
      <c r="G35"/>
      <c r="H35"/>
      <c r="L35" s="291"/>
      <c r="M35" s="291"/>
      <c r="N35" s="291"/>
      <c r="O35"/>
      <c r="P35"/>
    </row>
    <row r="36" spans="2:16">
      <c r="B36"/>
      <c r="F36"/>
      <c r="G36"/>
      <c r="H36"/>
      <c r="L36" s="291"/>
      <c r="M36" s="291"/>
      <c r="N36" s="291"/>
      <c r="O36"/>
      <c r="P36"/>
    </row>
    <row r="37" spans="2:16">
      <c r="B37"/>
      <c r="F37"/>
      <c r="G37"/>
      <c r="H37"/>
      <c r="L37" s="291"/>
      <c r="M37" s="291"/>
      <c r="N37" s="291"/>
      <c r="O37"/>
      <c r="P37"/>
    </row>
    <row r="38" spans="2:16">
      <c r="B38"/>
      <c r="F38"/>
      <c r="G38"/>
      <c r="H38"/>
      <c r="L38" s="291"/>
      <c r="M38" s="291"/>
      <c r="N38" s="291"/>
      <c r="O38"/>
      <c r="P38"/>
    </row>
    <row r="39" spans="2:16">
      <c r="B39"/>
      <c r="F39"/>
      <c r="G39"/>
      <c r="H39"/>
      <c r="L39" s="291"/>
      <c r="M39" s="291"/>
      <c r="N39" s="291"/>
      <c r="O39"/>
      <c r="P39"/>
    </row>
    <row r="40" spans="2:16">
      <c r="B40"/>
      <c r="F40"/>
      <c r="G40"/>
      <c r="H40"/>
      <c r="L40" s="291"/>
      <c r="M40" s="291"/>
      <c r="N40" s="291"/>
      <c r="O40"/>
      <c r="P40"/>
    </row>
    <row r="41" spans="2:16">
      <c r="B41"/>
      <c r="F41"/>
      <c r="G41"/>
      <c r="H41"/>
      <c r="L41" s="291"/>
      <c r="M41" s="291"/>
      <c r="N41" s="291"/>
      <c r="O41"/>
      <c r="P41"/>
    </row>
    <row r="42" spans="2:16">
      <c r="B42"/>
      <c r="F42"/>
      <c r="G42"/>
      <c r="H42"/>
      <c r="L42" s="291"/>
      <c r="M42" s="291"/>
      <c r="N42" s="291"/>
      <c r="O42"/>
      <c r="P42"/>
    </row>
    <row r="43" spans="2:16">
      <c r="B43"/>
      <c r="F43"/>
      <c r="G43"/>
      <c r="H43"/>
      <c r="L43" s="291"/>
      <c r="M43" s="291"/>
      <c r="N43" s="291"/>
      <c r="O43"/>
      <c r="P43"/>
    </row>
    <row r="48" spans="2:16">
      <c r="B48"/>
      <c r="D48" s="76" t="s">
        <v>307</v>
      </c>
      <c r="E48" s="48"/>
      <c r="F48" s="53">
        <f>SUM(F15:F47)</f>
        <v>1050000</v>
      </c>
      <c r="G48" s="53">
        <f>SUM(G15:G47)</f>
        <v>500000</v>
      </c>
      <c r="H48" s="77">
        <f>F48-G48</f>
        <v>550000</v>
      </c>
      <c r="L48" s="156">
        <f>SUM(L3:L11)</f>
        <v>500000</v>
      </c>
      <c r="M48" s="156">
        <f>SUM(M3:M46)</f>
        <v>50000</v>
      </c>
      <c r="N48" s="156">
        <f>SUM(N3:N11)</f>
        <v>0</v>
      </c>
      <c r="O48" s="92">
        <f>SUM(O3:O11)</f>
        <v>0</v>
      </c>
      <c r="P48" s="92">
        <f>SUM(P3:P11)</f>
        <v>0</v>
      </c>
    </row>
    <row r="49" spans="12:16" customFormat="1">
      <c r="L49" s="291"/>
      <c r="P49" s="92">
        <f>SUM(L48:P48)</f>
        <v>550000</v>
      </c>
    </row>
  </sheetData>
  <mergeCells count="2">
    <mergeCell ref="L1:P1"/>
    <mergeCell ref="C6:E6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sheetPr codeName="Sheet5">
    <tabColor rgb="FFFFC000"/>
  </sheetPr>
  <dimension ref="B1:P50"/>
  <sheetViews>
    <sheetView workbookViewId="0">
      <selection activeCell="F25" sqref="F25"/>
    </sheetView>
  </sheetViews>
  <sheetFormatPr defaultRowHeight="12.75"/>
  <cols>
    <col min="1" max="1" width="1.85546875" customWidth="1"/>
    <col min="2" max="2" width="11.28515625" style="19" customWidth="1"/>
    <col min="3" max="3" width="2.28515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15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63</v>
      </c>
      <c r="G2" s="18" t="s">
        <v>53</v>
      </c>
      <c r="L2" s="155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t="s">
        <v>101</v>
      </c>
      <c r="G3" s="18" t="s">
        <v>61</v>
      </c>
      <c r="H3" s="18" t="s">
        <v>17</v>
      </c>
      <c r="L3" s="156">
        <f>F15</f>
        <v>50000</v>
      </c>
      <c r="M3" s="156">
        <f>F16</f>
        <v>20000</v>
      </c>
      <c r="N3" s="92">
        <f>F21</f>
        <v>0</v>
      </c>
      <c r="O3" s="92">
        <f>F19</f>
        <v>19051.991278801215</v>
      </c>
      <c r="P3" s="92"/>
    </row>
    <row r="4" spans="2:16">
      <c r="D4" t="s">
        <v>52</v>
      </c>
      <c r="G4" s="18" t="s">
        <v>99</v>
      </c>
      <c r="L4" s="156">
        <f>F17</f>
        <v>150000</v>
      </c>
      <c r="M4" s="156">
        <f>F18</f>
        <v>20000</v>
      </c>
      <c r="N4" s="92"/>
      <c r="O4" s="92">
        <f>F20</f>
        <v>25262.268078736506</v>
      </c>
    </row>
    <row r="5" spans="2:16">
      <c r="G5" s="18"/>
      <c r="L5" s="156">
        <v>300000</v>
      </c>
      <c r="M5" s="156">
        <v>350000</v>
      </c>
      <c r="O5" s="30">
        <v>-25000</v>
      </c>
    </row>
    <row r="6" spans="2:16">
      <c r="G6" s="18" t="s">
        <v>100</v>
      </c>
      <c r="M6" s="156">
        <v>50000</v>
      </c>
    </row>
    <row r="7" spans="2:16">
      <c r="G7" s="24" t="s">
        <v>55</v>
      </c>
      <c r="M7" s="156">
        <v>202500</v>
      </c>
    </row>
    <row r="8" spans="2:16">
      <c r="G8" s="18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40637</v>
      </c>
      <c r="D15" t="s">
        <v>59</v>
      </c>
      <c r="F15" s="21">
        <v>50000</v>
      </c>
      <c r="G15" s="22"/>
      <c r="H15" s="21">
        <f>F15-G15</f>
        <v>50000</v>
      </c>
    </row>
    <row r="16" spans="2:16" ht="15" customHeight="1">
      <c r="B16" s="19">
        <v>40637</v>
      </c>
      <c r="D16" t="s">
        <v>102</v>
      </c>
      <c r="F16" s="21">
        <v>20000</v>
      </c>
      <c r="H16" s="21">
        <f t="shared" ref="H16:H24" si="0">H15+F16-G16</f>
        <v>70000</v>
      </c>
    </row>
    <row r="17" spans="2:16" ht="15" customHeight="1">
      <c r="B17" s="19">
        <v>40682</v>
      </c>
      <c r="D17" t="s">
        <v>59</v>
      </c>
      <c r="F17" s="21">
        <v>150000</v>
      </c>
      <c r="H17" s="21">
        <f t="shared" si="0"/>
        <v>220000</v>
      </c>
    </row>
    <row r="18" spans="2:16" ht="15" customHeight="1">
      <c r="B18" s="19">
        <v>40682</v>
      </c>
      <c r="D18" t="s">
        <v>102</v>
      </c>
      <c r="F18" s="21">
        <v>20000</v>
      </c>
      <c r="H18" s="21">
        <f t="shared" si="0"/>
        <v>240000</v>
      </c>
    </row>
    <row r="19" spans="2:16" ht="15" customHeight="1">
      <c r="B19" s="19">
        <v>41274</v>
      </c>
      <c r="D19" t="s">
        <v>392</v>
      </c>
      <c r="F19" s="21">
        <v>19051.991278801215</v>
      </c>
      <c r="H19" s="21">
        <f t="shared" si="0"/>
        <v>259051.99127880123</v>
      </c>
    </row>
    <row r="20" spans="2:16" ht="15" customHeight="1">
      <c r="B20" s="19">
        <v>41640</v>
      </c>
      <c r="D20" t="s">
        <v>499</v>
      </c>
      <c r="F20" s="21">
        <v>25262.268078736506</v>
      </c>
      <c r="H20" s="21">
        <f t="shared" si="0"/>
        <v>284314.25935753773</v>
      </c>
    </row>
    <row r="21" spans="2:16" ht="15" customHeight="1">
      <c r="B21" s="19">
        <v>41640</v>
      </c>
      <c r="D21" t="s">
        <v>503</v>
      </c>
      <c r="G21" s="21">
        <v>25000</v>
      </c>
      <c r="H21" s="21">
        <f t="shared" si="0"/>
        <v>259314.25935753773</v>
      </c>
    </row>
    <row r="22" spans="2:16" ht="15" customHeight="1">
      <c r="B22" s="19">
        <v>43114</v>
      </c>
      <c r="D22" t="s">
        <v>614</v>
      </c>
      <c r="F22" s="21">
        <v>300000</v>
      </c>
      <c r="H22" s="21">
        <f t="shared" si="0"/>
        <v>559314.25935753773</v>
      </c>
    </row>
    <row r="23" spans="2:16" ht="15" customHeight="1">
      <c r="B23" s="336">
        <v>43114</v>
      </c>
      <c r="D23" t="s">
        <v>848</v>
      </c>
      <c r="F23" s="21">
        <v>350000</v>
      </c>
      <c r="H23" s="21">
        <f t="shared" si="0"/>
        <v>909314.25935753773</v>
      </c>
    </row>
    <row r="24" spans="2:16" ht="15" customHeight="1">
      <c r="F24" s="21">
        <v>50000</v>
      </c>
      <c r="H24" s="21">
        <f t="shared" si="0"/>
        <v>959314.25935753773</v>
      </c>
    </row>
    <row r="25" spans="2:16" ht="15" customHeight="1">
      <c r="B25" s="337">
        <v>43900</v>
      </c>
      <c r="C25" s="324"/>
      <c r="D25" s="324" t="s">
        <v>1127</v>
      </c>
      <c r="E25" t="s">
        <v>1126</v>
      </c>
      <c r="F25" s="291">
        <v>202500</v>
      </c>
    </row>
    <row r="26" spans="2:16" ht="15" customHeight="1"/>
    <row r="27" spans="2:16" ht="15" customHeight="1"/>
    <row r="28" spans="2:16" ht="15" customHeight="1"/>
    <row r="29" spans="2:16" ht="15" customHeight="1"/>
    <row r="30" spans="2:16" ht="15" customHeight="1">
      <c r="L30" s="156">
        <f>SUM(L3:L11)</f>
        <v>500000</v>
      </c>
      <c r="M30" s="156">
        <f>SUM(M3:M11)</f>
        <v>642500</v>
      </c>
      <c r="N30" s="92">
        <f>SUM(N3:N11)</f>
        <v>0</v>
      </c>
      <c r="O30" s="92">
        <f>SUM(O3:O11)</f>
        <v>19314.259357537725</v>
      </c>
      <c r="P30" s="92">
        <f>SUM(P3:P11)</f>
        <v>0</v>
      </c>
    </row>
    <row r="31" spans="2:16" ht="15" customHeight="1">
      <c r="P31" s="92">
        <f>SUM(L30:P30)</f>
        <v>1161814.2593575376</v>
      </c>
    </row>
    <row r="32" spans="2:1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8" ht="15" customHeight="1">
      <c r="D50" s="76" t="s">
        <v>307</v>
      </c>
      <c r="E50" s="48"/>
      <c r="F50" s="53">
        <f>SUM(F15:F49)</f>
        <v>1186814.2593575376</v>
      </c>
      <c r="G50" s="53">
        <f>SUM(G15:G49)</f>
        <v>25000</v>
      </c>
      <c r="H50" s="77">
        <f>F50-G50</f>
        <v>1161814.2593575376</v>
      </c>
    </row>
  </sheetData>
  <mergeCells count="1">
    <mergeCell ref="L1:P1"/>
  </mergeCells>
  <phoneticPr fontId="0" type="noConversion"/>
  <pageMargins left="0" right="0.5" top="0.3" bottom="1" header="0.2" footer="0.5"/>
  <pageSetup paperSize="9" scale="90" orientation="landscape" horizontalDpi="4294967293" r:id="rId1"/>
  <headerFooter alignWithMargins="0"/>
  <legacyDrawing r:id="rId2"/>
  <oleObjects>
    <oleObject progId="CorelDRAW.Graphic.11" shapeId="8193" r:id="rId3"/>
    <oleObject progId="CorelDRAW.Graphic.11" shapeId="8194" r:id="rId4"/>
  </oleObjects>
</worksheet>
</file>

<file path=xl/worksheets/sheet83.xml><?xml version="1.0" encoding="utf-8"?>
<worksheet xmlns="http://schemas.openxmlformats.org/spreadsheetml/2006/main" xmlns:r="http://schemas.openxmlformats.org/officeDocument/2006/relationships">
  <sheetPr codeName="Sheet16">
    <tabColor rgb="FFFFC000"/>
  </sheetPr>
  <dimension ref="A1:P50"/>
  <sheetViews>
    <sheetView workbookViewId="0">
      <selection activeCell="J33" sqref="J33"/>
    </sheetView>
  </sheetViews>
  <sheetFormatPr defaultRowHeight="12.75"/>
  <cols>
    <col min="1" max="1" width="0.140625" customWidth="1"/>
    <col min="2" max="2" width="10.28515625" style="19" customWidth="1"/>
    <col min="3" max="3" width="1.140625" customWidth="1"/>
    <col min="4" max="4" width="8.42578125" customWidth="1"/>
    <col min="5" max="5" width="10.5703125" customWidth="1"/>
    <col min="6" max="6" width="11" style="21" customWidth="1"/>
    <col min="7" max="7" width="10.28515625" style="21" customWidth="1"/>
    <col min="8" max="8" width="12.14062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 ht="22.5" customHeight="1">
      <c r="B1" s="27" t="s">
        <v>49</v>
      </c>
      <c r="C1" s="28" t="s">
        <v>3</v>
      </c>
      <c r="D1" s="37" t="s">
        <v>47</v>
      </c>
      <c r="G1" s="688" t="s">
        <v>60</v>
      </c>
      <c r="H1" s="688"/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75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3" t="s">
        <v>123</v>
      </c>
      <c r="G3" s="18" t="s">
        <v>61</v>
      </c>
      <c r="H3" s="21" t="s">
        <v>48</v>
      </c>
      <c r="L3" s="92">
        <f>F15</f>
        <v>100000</v>
      </c>
      <c r="M3" s="92">
        <f>F17</f>
        <v>20000</v>
      </c>
      <c r="N3" s="92"/>
      <c r="O3" s="92">
        <v>17464.325338901119</v>
      </c>
      <c r="P3" s="92"/>
    </row>
    <row r="4" spans="2:16">
      <c r="D4" t="s">
        <v>52</v>
      </c>
      <c r="G4" s="18" t="s">
        <v>124</v>
      </c>
      <c r="L4" s="92">
        <f>F16</f>
        <v>100000</v>
      </c>
      <c r="M4" s="92"/>
      <c r="N4" s="92"/>
      <c r="O4" s="92">
        <v>23157.079072175129</v>
      </c>
    </row>
    <row r="5" spans="2:16">
      <c r="G5" s="18"/>
      <c r="M5" s="92"/>
    </row>
    <row r="6" spans="2:16">
      <c r="G6" s="18" t="s">
        <v>125</v>
      </c>
      <c r="M6" s="92"/>
    </row>
    <row r="7" spans="2:16">
      <c r="G7" s="24" t="s">
        <v>55</v>
      </c>
      <c r="M7" s="92"/>
    </row>
    <row r="8" spans="2:16">
      <c r="G8" s="18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40658</v>
      </c>
      <c r="D15" t="s">
        <v>59</v>
      </c>
      <c r="F15" s="21">
        <v>100000</v>
      </c>
      <c r="G15" s="22"/>
      <c r="H15" s="21">
        <f>F15-G15</f>
        <v>100000</v>
      </c>
    </row>
    <row r="16" spans="2:16" ht="15" customHeight="1">
      <c r="B16" s="19">
        <v>40724</v>
      </c>
      <c r="D16" t="s">
        <v>59</v>
      </c>
      <c r="F16" s="21">
        <v>100000</v>
      </c>
      <c r="H16" s="21">
        <f>H15+F16-G16</f>
        <v>200000</v>
      </c>
    </row>
    <row r="17" spans="1:16" ht="15" customHeight="1">
      <c r="B17" s="19">
        <v>40724</v>
      </c>
      <c r="D17" t="s">
        <v>102</v>
      </c>
      <c r="F17" s="21">
        <v>20000</v>
      </c>
      <c r="H17" s="21">
        <f>H16+F17-G17</f>
        <v>220000</v>
      </c>
    </row>
    <row r="18" spans="1:16" ht="15" customHeight="1">
      <c r="B18" s="19">
        <v>41274</v>
      </c>
      <c r="D18" t="s">
        <v>392</v>
      </c>
      <c r="F18" s="21">
        <v>17464.325338901119</v>
      </c>
      <c r="H18" s="21">
        <f>H17+F18-G18</f>
        <v>237464.32533890111</v>
      </c>
    </row>
    <row r="19" spans="1:16" ht="15" customHeight="1">
      <c r="B19" s="19">
        <v>41640</v>
      </c>
      <c r="D19" t="s">
        <v>499</v>
      </c>
      <c r="F19" s="21">
        <v>23157.079072175129</v>
      </c>
      <c r="H19" s="21">
        <f>H18+F19-G19</f>
        <v>260621.40441107625</v>
      </c>
    </row>
    <row r="20" spans="1:16" s="118" customFormat="1" ht="13.5" customHeight="1">
      <c r="A20" s="117"/>
      <c r="B20" s="19">
        <v>41640</v>
      </c>
      <c r="C20"/>
      <c r="D20" t="s">
        <v>503</v>
      </c>
      <c r="E20"/>
      <c r="F20" s="119"/>
      <c r="G20" s="119">
        <v>23000</v>
      </c>
      <c r="H20" s="21">
        <f>H19+F20-G20</f>
        <v>237621.40441107625</v>
      </c>
      <c r="I20" s="120"/>
      <c r="J20" s="119"/>
      <c r="K20" s="119"/>
      <c r="L20" s="116"/>
      <c r="M20" s="121"/>
      <c r="N20" s="121"/>
      <c r="O20" s="121"/>
      <c r="P20" s="121"/>
    </row>
    <row r="21" spans="1:16" ht="15" customHeight="1"/>
    <row r="22" spans="1:16" ht="15" customHeight="1"/>
    <row r="23" spans="1:16" ht="15" customHeight="1"/>
    <row r="24" spans="1:16" ht="15" customHeight="1"/>
    <row r="25" spans="1:16" ht="15" customHeight="1"/>
    <row r="26" spans="1:16" ht="15" customHeight="1"/>
    <row r="27" spans="1:16" ht="15" customHeight="1"/>
    <row r="28" spans="1:16" ht="15" customHeight="1"/>
    <row r="29" spans="1:16" ht="15" customHeight="1"/>
    <row r="30" spans="1:16" ht="15" customHeight="1">
      <c r="L30" s="92">
        <f>SUM(L3:L11)</f>
        <v>200000</v>
      </c>
      <c r="M30" s="92">
        <f>SUM(M3:M11)</f>
        <v>20000</v>
      </c>
      <c r="N30" s="92">
        <f>SUM(N3:N11)</f>
        <v>0</v>
      </c>
      <c r="O30" s="92">
        <f>SUM(O3:O11)</f>
        <v>40621.404411076248</v>
      </c>
      <c r="P30" s="92">
        <f>SUM(P3:P11)</f>
        <v>0</v>
      </c>
    </row>
    <row r="31" spans="1:16" ht="15" customHeight="1">
      <c r="P31" s="92">
        <f>SUM(L30:P30)</f>
        <v>260621.40441107625</v>
      </c>
    </row>
    <row r="32" spans="1:1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8" ht="15" customHeight="1">
      <c r="D50" s="76" t="s">
        <v>307</v>
      </c>
      <c r="E50" s="48"/>
      <c r="F50" s="53">
        <f>SUM(F15:F49)</f>
        <v>260621.40441107625</v>
      </c>
      <c r="G50" s="53">
        <f>SUM(G15:G49)</f>
        <v>23000</v>
      </c>
      <c r="H50" s="77">
        <f>F50-G50</f>
        <v>237621.40441107625</v>
      </c>
    </row>
  </sheetData>
  <mergeCells count="2">
    <mergeCell ref="G1:H1"/>
    <mergeCell ref="L1:P1"/>
  </mergeCells>
  <phoneticPr fontId="7" type="noConversion"/>
  <pageMargins left="0.23" right="0.75" top="0.61" bottom="1" header="0.31" footer="0.5"/>
  <pageSetup orientation="landscape" horizontalDpi="4294967293" verticalDpi="0" r:id="rId1"/>
  <headerFooter alignWithMargins="0"/>
  <legacyDrawing r:id="rId2"/>
  <oleObjects>
    <oleObject progId="CorelDRAW.Graphic.11" shapeId="20481" r:id="rId3"/>
    <oleObject progId="CorelDRAW.Graphic.11" shapeId="20482" r:id="rId4"/>
  </oleObjects>
</worksheet>
</file>

<file path=xl/worksheets/sheet84.xml><?xml version="1.0" encoding="utf-8"?>
<worksheet xmlns="http://schemas.openxmlformats.org/spreadsheetml/2006/main" xmlns:r="http://schemas.openxmlformats.org/officeDocument/2006/relationships">
  <sheetPr>
    <tabColor rgb="FFFFC000"/>
  </sheetPr>
  <dimension ref="B1:P50"/>
  <sheetViews>
    <sheetView zoomScale="80" zoomScaleNormal="80" workbookViewId="0">
      <selection activeCell="M42" sqref="M42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19.57031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619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171</v>
      </c>
      <c r="G2" s="18" t="s">
        <v>53</v>
      </c>
      <c r="H2" s="159"/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/>
      <c r="G3" s="18" t="s">
        <v>61</v>
      </c>
      <c r="H3" s="292"/>
      <c r="L3" s="21">
        <v>200000</v>
      </c>
      <c r="M3" s="156">
        <v>25000</v>
      </c>
      <c r="N3" s="92">
        <v>25000</v>
      </c>
      <c r="O3" s="92">
        <v>0</v>
      </c>
      <c r="P3" s="92"/>
    </row>
    <row r="4" spans="2:16">
      <c r="D4" s="55" t="s">
        <v>620</v>
      </c>
      <c r="G4" s="89" t="s">
        <v>379</v>
      </c>
      <c r="H4" s="141">
        <v>42056</v>
      </c>
      <c r="L4" s="92"/>
      <c r="M4" s="156">
        <v>25000</v>
      </c>
      <c r="N4" s="92"/>
      <c r="O4" s="92"/>
    </row>
    <row r="5" spans="2:16">
      <c r="G5" s="18"/>
      <c r="M5" s="156">
        <v>50000</v>
      </c>
    </row>
    <row r="6" spans="2:16">
      <c r="C6" s="686" t="s">
        <v>454</v>
      </c>
      <c r="D6" s="686"/>
      <c r="E6" s="686"/>
      <c r="G6" s="89" t="s">
        <v>381</v>
      </c>
      <c r="H6" s="142">
        <f>H4</f>
        <v>42056</v>
      </c>
      <c r="M6" s="156">
        <v>25000</v>
      </c>
    </row>
    <row r="7" spans="2:16">
      <c r="G7" s="24" t="s">
        <v>55</v>
      </c>
      <c r="M7" s="156">
        <v>25000</v>
      </c>
    </row>
    <row r="8" spans="2:16">
      <c r="G8" s="18"/>
      <c r="M8" s="156">
        <v>25000</v>
      </c>
    </row>
    <row r="9" spans="2:16">
      <c r="M9" s="156">
        <v>25000</v>
      </c>
    </row>
    <row r="10" spans="2:16">
      <c r="M10" s="156">
        <v>50000</v>
      </c>
    </row>
    <row r="11" spans="2:16">
      <c r="G11" s="18" t="s">
        <v>56</v>
      </c>
      <c r="M11" s="156">
        <v>-200000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42056</v>
      </c>
      <c r="D15" s="55" t="s">
        <v>286</v>
      </c>
      <c r="F15" s="21">
        <v>25000</v>
      </c>
      <c r="H15" s="21">
        <f>F15-G15</f>
        <v>25000</v>
      </c>
    </row>
    <row r="16" spans="2:16" ht="15" customHeight="1">
      <c r="D16" s="55" t="s">
        <v>282</v>
      </c>
      <c r="F16" s="21">
        <v>25000</v>
      </c>
      <c r="H16" s="21">
        <f>H15+F16-G16</f>
        <v>50000</v>
      </c>
    </row>
    <row r="17" spans="2:16" ht="15" customHeight="1">
      <c r="B17" s="19">
        <v>42136</v>
      </c>
      <c r="D17" s="55" t="s">
        <v>286</v>
      </c>
      <c r="F17" s="21">
        <v>25000</v>
      </c>
      <c r="H17" s="21">
        <f>H16+F17-G17</f>
        <v>75000</v>
      </c>
    </row>
    <row r="18" spans="2:16" ht="15" customHeight="1">
      <c r="B18" s="19">
        <v>42213</v>
      </c>
      <c r="D18" s="55" t="s">
        <v>286</v>
      </c>
      <c r="F18" s="21">
        <v>50000</v>
      </c>
      <c r="H18" s="21">
        <f>H17+F18-G18</f>
        <v>125000</v>
      </c>
    </row>
    <row r="19" spans="2:16" ht="15" customHeight="1">
      <c r="B19" s="19">
        <v>42226</v>
      </c>
      <c r="D19" s="55" t="s">
        <v>286</v>
      </c>
      <c r="F19" s="21">
        <v>25000</v>
      </c>
      <c r="H19" s="21">
        <f t="shared" ref="H19:H24" si="0">H18+F19-G19</f>
        <v>150000</v>
      </c>
    </row>
    <row r="20" spans="2:16" ht="15" customHeight="1">
      <c r="B20" s="19">
        <v>42258</v>
      </c>
      <c r="D20" s="55" t="s">
        <v>286</v>
      </c>
      <c r="F20" s="21">
        <v>25000</v>
      </c>
      <c r="H20" s="21">
        <f t="shared" si="0"/>
        <v>175000</v>
      </c>
    </row>
    <row r="21" spans="2:16" ht="15" customHeight="1">
      <c r="B21" s="19">
        <v>42263</v>
      </c>
      <c r="D21" t="s">
        <v>657</v>
      </c>
      <c r="F21" s="21">
        <v>25000</v>
      </c>
      <c r="H21" s="21">
        <f t="shared" si="0"/>
        <v>200000</v>
      </c>
    </row>
    <row r="22" spans="2:16" ht="15" customHeight="1">
      <c r="B22" s="302">
        <v>42412</v>
      </c>
      <c r="D22" t="s">
        <v>657</v>
      </c>
      <c r="F22" s="21">
        <v>25000</v>
      </c>
      <c r="H22" s="21">
        <f t="shared" si="0"/>
        <v>225000</v>
      </c>
    </row>
    <row r="23" spans="2:16" ht="15" customHeight="1">
      <c r="B23" s="351">
        <v>42661</v>
      </c>
      <c r="C23" s="352" t="s">
        <v>657</v>
      </c>
      <c r="D23" s="325"/>
      <c r="E23" s="325"/>
      <c r="F23" s="354">
        <v>50000</v>
      </c>
      <c r="H23" s="21">
        <f t="shared" si="0"/>
        <v>275000</v>
      </c>
    </row>
    <row r="24" spans="2:16" ht="15" customHeight="1">
      <c r="B24" s="337">
        <v>42917</v>
      </c>
      <c r="D24" s="421" t="s">
        <v>803</v>
      </c>
      <c r="F24" s="21">
        <v>200000</v>
      </c>
      <c r="G24" s="21">
        <v>200000</v>
      </c>
      <c r="H24" s="21">
        <f t="shared" si="0"/>
        <v>275000</v>
      </c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</row>
    <row r="29" spans="2:16" ht="15" customHeight="1">
      <c r="B29"/>
    </row>
    <row r="30" spans="2:16" ht="15" customHeight="1">
      <c r="B30"/>
      <c r="L30" s="92">
        <f>SUM(L3:L11)</f>
        <v>200000</v>
      </c>
      <c r="M30" s="156">
        <f>SUM(M3:M29)</f>
        <v>50000</v>
      </c>
      <c r="N30" s="92">
        <f>SUM(N3:N11)</f>
        <v>25000</v>
      </c>
      <c r="O30" s="92">
        <f>SUM(O3:O11)</f>
        <v>0</v>
      </c>
      <c r="P30" s="92">
        <f>SUM(P3:P11)</f>
        <v>0</v>
      </c>
    </row>
    <row r="31" spans="2:16" ht="15" customHeight="1">
      <c r="B31"/>
      <c r="P31" s="92">
        <f>SUM(L30:P30)</f>
        <v>275000</v>
      </c>
    </row>
    <row r="32" spans="2:16" ht="15" customHeight="1">
      <c r="B32"/>
    </row>
    <row r="33" spans="2:16">
      <c r="B33"/>
      <c r="F33"/>
      <c r="G33"/>
      <c r="H33"/>
      <c r="L33"/>
      <c r="M33" s="291"/>
      <c r="N33"/>
      <c r="O33"/>
      <c r="P33"/>
    </row>
    <row r="34" spans="2:16">
      <c r="B34"/>
      <c r="F34"/>
      <c r="G34"/>
      <c r="H34"/>
      <c r="L34"/>
      <c r="M34" s="291"/>
      <c r="N34"/>
      <c r="O34"/>
      <c r="P34"/>
    </row>
    <row r="35" spans="2:16">
      <c r="B35"/>
      <c r="F35"/>
      <c r="G35"/>
      <c r="H35"/>
      <c r="L35"/>
      <c r="M35" s="291"/>
      <c r="N35"/>
      <c r="O35"/>
      <c r="P35"/>
    </row>
    <row r="36" spans="2:16">
      <c r="B36"/>
      <c r="F36"/>
      <c r="G36"/>
      <c r="H36"/>
      <c r="L36"/>
      <c r="M36" s="291"/>
      <c r="N36"/>
      <c r="O36"/>
      <c r="P36"/>
    </row>
    <row r="37" spans="2:16">
      <c r="B37"/>
      <c r="F37"/>
      <c r="G37"/>
      <c r="H37"/>
      <c r="L37"/>
      <c r="M37" s="291"/>
      <c r="N37"/>
      <c r="O37"/>
      <c r="P37"/>
    </row>
    <row r="38" spans="2:16">
      <c r="B38"/>
      <c r="F38"/>
      <c r="G38"/>
      <c r="H38"/>
      <c r="L38"/>
      <c r="M38" s="291"/>
      <c r="N38"/>
      <c r="O38"/>
      <c r="P38"/>
    </row>
    <row r="39" spans="2:16">
      <c r="B39"/>
      <c r="F39"/>
      <c r="G39"/>
      <c r="H39"/>
      <c r="L39"/>
      <c r="M39" s="291"/>
      <c r="N39"/>
      <c r="O39"/>
      <c r="P39"/>
    </row>
    <row r="40" spans="2:16">
      <c r="B40"/>
      <c r="F40"/>
      <c r="G40"/>
      <c r="H40"/>
      <c r="L40"/>
      <c r="M40" s="291"/>
      <c r="N40"/>
      <c r="O40"/>
      <c r="P40"/>
    </row>
    <row r="41" spans="2:16">
      <c r="B41"/>
      <c r="F41"/>
      <c r="G41"/>
      <c r="H41"/>
      <c r="L41"/>
      <c r="M41" s="291"/>
      <c r="N41"/>
      <c r="O41"/>
      <c r="P41"/>
    </row>
    <row r="42" spans="2:16">
      <c r="B42"/>
      <c r="F42"/>
      <c r="G42"/>
      <c r="H42"/>
      <c r="L42"/>
      <c r="M42" s="291"/>
      <c r="N42"/>
      <c r="O42"/>
      <c r="P42"/>
    </row>
    <row r="43" spans="2:16">
      <c r="B43"/>
      <c r="F43"/>
      <c r="G43"/>
      <c r="H43"/>
      <c r="L43"/>
      <c r="M43" s="291"/>
      <c r="N43"/>
      <c r="O43"/>
      <c r="P43"/>
    </row>
    <row r="44" spans="2:16">
      <c r="B44"/>
      <c r="F44"/>
      <c r="G44"/>
      <c r="H44"/>
      <c r="L44"/>
      <c r="M44" s="291"/>
      <c r="N44"/>
      <c r="O44"/>
      <c r="P44"/>
    </row>
    <row r="45" spans="2:16">
      <c r="B45"/>
      <c r="F45"/>
      <c r="G45"/>
      <c r="H45"/>
      <c r="L45"/>
      <c r="M45" s="291"/>
      <c r="N45"/>
      <c r="O45"/>
      <c r="P45"/>
    </row>
    <row r="50" spans="4:13" customFormat="1">
      <c r="D50" s="76" t="s">
        <v>307</v>
      </c>
      <c r="E50" s="48"/>
      <c r="F50" s="53">
        <f>SUM(F15:F49)</f>
        <v>475000</v>
      </c>
      <c r="G50" s="53">
        <f>SUM(G15:G49)</f>
        <v>200000</v>
      </c>
      <c r="H50" s="77">
        <f>F50-G50</f>
        <v>275000</v>
      </c>
      <c r="M50" s="291"/>
    </row>
  </sheetData>
  <mergeCells count="2">
    <mergeCell ref="L1:P1"/>
    <mergeCell ref="C6:E6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sheetPr>
    <tabColor rgb="FFFFC000"/>
  </sheetPr>
  <dimension ref="B1:P50"/>
  <sheetViews>
    <sheetView workbookViewId="0">
      <selection activeCell="L4" sqref="L4"/>
    </sheetView>
  </sheetViews>
  <sheetFormatPr defaultRowHeight="12.75"/>
  <cols>
    <col min="1" max="1" width="0.855468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t="s">
        <v>287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141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t="s">
        <v>289</v>
      </c>
      <c r="G3" s="18" t="s">
        <v>61</v>
      </c>
      <c r="H3" t="s">
        <v>288</v>
      </c>
      <c r="L3" s="92">
        <f>F15</f>
        <v>200000</v>
      </c>
      <c r="M3" s="92">
        <f>F16</f>
        <v>40000</v>
      </c>
      <c r="N3" s="92">
        <f>F17</f>
        <v>10000</v>
      </c>
      <c r="O3" s="92">
        <f>F18</f>
        <v>19845.824248751269</v>
      </c>
      <c r="P3" s="92"/>
    </row>
    <row r="4" spans="2:16">
      <c r="D4" t="s">
        <v>52</v>
      </c>
      <c r="G4" s="18" t="s">
        <v>292</v>
      </c>
      <c r="L4" s="156">
        <v>300000</v>
      </c>
      <c r="M4" s="92">
        <v>50000</v>
      </c>
      <c r="N4" s="92"/>
      <c r="O4" s="92">
        <v>26314.862582017195</v>
      </c>
    </row>
    <row r="5" spans="2:16">
      <c r="G5" s="18"/>
      <c r="M5" s="92"/>
      <c r="O5" s="161">
        <v>15168.874778917803</v>
      </c>
    </row>
    <row r="6" spans="2:16">
      <c r="G6" s="18" t="s">
        <v>293</v>
      </c>
      <c r="M6" s="92"/>
      <c r="O6" s="161">
        <v>12115.494543730903</v>
      </c>
    </row>
    <row r="7" spans="2:16">
      <c r="G7" s="24" t="s">
        <v>55</v>
      </c>
      <c r="M7" s="92"/>
      <c r="O7" s="161">
        <v>15819.583632301354</v>
      </c>
    </row>
    <row r="8" spans="2:16">
      <c r="G8" s="18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40756</v>
      </c>
      <c r="D15" t="s">
        <v>59</v>
      </c>
      <c r="F15" s="21">
        <v>200000</v>
      </c>
      <c r="G15" s="22"/>
      <c r="H15" s="21">
        <f>F15-G15</f>
        <v>200000</v>
      </c>
    </row>
    <row r="16" spans="2:16" ht="15" customHeight="1">
      <c r="B16" s="19">
        <v>40756</v>
      </c>
      <c r="D16" t="s">
        <v>102</v>
      </c>
      <c r="F16" s="21">
        <v>40000</v>
      </c>
      <c r="H16" s="21">
        <f>H15+F16-G16</f>
        <v>240000</v>
      </c>
    </row>
    <row r="17" spans="2:16" ht="15" customHeight="1">
      <c r="B17" s="19">
        <v>40756</v>
      </c>
      <c r="D17" t="s">
        <v>110</v>
      </c>
      <c r="F17" s="21">
        <v>10000</v>
      </c>
      <c r="H17" s="21">
        <f>H16+F17-G17</f>
        <v>250000</v>
      </c>
    </row>
    <row r="18" spans="2:16" ht="15" customHeight="1">
      <c r="B18" s="19">
        <v>41274</v>
      </c>
      <c r="D18" t="s">
        <v>392</v>
      </c>
      <c r="F18" s="21">
        <v>19845.824248751269</v>
      </c>
      <c r="H18" s="21">
        <f>H17+F18-G18</f>
        <v>269845.82424875128</v>
      </c>
    </row>
    <row r="19" spans="2:16" ht="15" customHeight="1">
      <c r="B19" s="336">
        <v>41639</v>
      </c>
      <c r="D19" t="s">
        <v>499</v>
      </c>
      <c r="F19" s="21">
        <v>26314.862582017195</v>
      </c>
      <c r="H19" s="21">
        <f>H18+F19-G19</f>
        <v>296160.68683076848</v>
      </c>
    </row>
    <row r="20" spans="2:16" ht="15" customHeight="1">
      <c r="B20" s="336">
        <v>42004</v>
      </c>
      <c r="D20" s="55" t="s">
        <v>592</v>
      </c>
      <c r="F20" s="21">
        <v>15168.874778917803</v>
      </c>
      <c r="H20" s="21">
        <f t="shared" ref="H20:H24" si="0">H19+F20-G20</f>
        <v>311329.56160968629</v>
      </c>
    </row>
    <row r="21" spans="2:16" ht="15" customHeight="1">
      <c r="B21" s="336">
        <v>42369</v>
      </c>
      <c r="D21" s="55" t="s">
        <v>694</v>
      </c>
      <c r="F21" s="21">
        <v>12115.494543730903</v>
      </c>
      <c r="H21" s="21">
        <f t="shared" si="0"/>
        <v>323445.05615341722</v>
      </c>
    </row>
    <row r="22" spans="2:16" ht="15" customHeight="1">
      <c r="B22" s="336">
        <v>42735</v>
      </c>
      <c r="D22" s="55" t="s">
        <v>732</v>
      </c>
      <c r="F22" s="21">
        <v>15819.583632301354</v>
      </c>
      <c r="H22" s="21">
        <f t="shared" si="0"/>
        <v>339264.63978571858</v>
      </c>
    </row>
    <row r="23" spans="2:16" ht="15" customHeight="1">
      <c r="B23" s="19">
        <v>43038</v>
      </c>
      <c r="D23" s="55" t="s">
        <v>614</v>
      </c>
      <c r="F23" s="21">
        <v>300000</v>
      </c>
      <c r="H23" s="21">
        <f t="shared" si="0"/>
        <v>639264.63978571864</v>
      </c>
    </row>
    <row r="24" spans="2:16" ht="15" customHeight="1">
      <c r="B24" s="336">
        <v>43038</v>
      </c>
      <c r="D24" s="55" t="s">
        <v>815</v>
      </c>
      <c r="F24" s="21">
        <v>50000</v>
      </c>
      <c r="H24" s="21">
        <f t="shared" si="0"/>
        <v>689264.63978571864</v>
      </c>
    </row>
    <row r="25" spans="2:16" ht="15" customHeight="1"/>
    <row r="26" spans="2:16" ht="15" customHeight="1"/>
    <row r="27" spans="2:16" ht="15" customHeight="1"/>
    <row r="28" spans="2:16" ht="15" customHeight="1"/>
    <row r="29" spans="2:16" ht="15" customHeight="1"/>
    <row r="30" spans="2:16" ht="15" customHeight="1">
      <c r="L30" s="92">
        <f>SUM(L3:L11)</f>
        <v>500000</v>
      </c>
      <c r="M30" s="92">
        <f>SUM(M3:M11)</f>
        <v>90000</v>
      </c>
      <c r="N30" s="92">
        <f>SUM(N3:N11)</f>
        <v>10000</v>
      </c>
      <c r="O30" s="92">
        <f>SUM(O3:O11)</f>
        <v>89264.639785718522</v>
      </c>
      <c r="P30" s="92">
        <f>SUM(P3:P11)</f>
        <v>0</v>
      </c>
    </row>
    <row r="31" spans="2:16" ht="15" customHeight="1">
      <c r="P31" s="92">
        <f>SUM(L30:P30)</f>
        <v>689264.63978571852</v>
      </c>
    </row>
    <row r="32" spans="2:1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8" ht="15" customHeight="1">
      <c r="D50" s="76" t="s">
        <v>307</v>
      </c>
      <c r="E50" s="48"/>
      <c r="F50" s="53">
        <f>SUM(F15:F49)</f>
        <v>689264.63978571864</v>
      </c>
      <c r="G50" s="53">
        <f>SUM(G15:G49)</f>
        <v>0</v>
      </c>
      <c r="H50" s="77">
        <f>F50-G50</f>
        <v>689264.63978571864</v>
      </c>
    </row>
  </sheetData>
  <mergeCells count="1">
    <mergeCell ref="L1:P1"/>
  </mergeCells>
  <phoneticPr fontId="7" type="noConversion"/>
  <pageMargins left="0.74803149606299213" right="0.74803149606299213" top="0.98425196850393704" bottom="0.98425196850393704" header="0.51181102362204722" footer="0.51181102362204722"/>
  <pageSetup paperSize="9" scale="80" orientation="landscape" horizontalDpi="4294967293" verticalDpi="0" r:id="rId1"/>
  <headerFooter alignWithMargins="0"/>
  <legacyDrawing r:id="rId2"/>
  <oleObjects>
    <oleObject progId="CorelDRAW.Graphic.11" shapeId="37889" r:id="rId3"/>
    <oleObject progId="CorelDRAW.Graphic.11" shapeId="37890" r:id="rId4"/>
  </oleObjects>
</worksheet>
</file>

<file path=xl/worksheets/sheet86.xml><?xml version="1.0" encoding="utf-8"?>
<worksheet xmlns="http://schemas.openxmlformats.org/spreadsheetml/2006/main" xmlns:r="http://schemas.openxmlformats.org/officeDocument/2006/relationships">
  <sheetPr>
    <tabColor rgb="FFFFC000"/>
  </sheetPr>
  <dimension ref="B1:P50"/>
  <sheetViews>
    <sheetView workbookViewId="0">
      <selection activeCell="G21" sqref="G21"/>
    </sheetView>
  </sheetViews>
  <sheetFormatPr defaultRowHeight="12.75"/>
  <cols>
    <col min="1" max="1" width="0.140625" customWidth="1"/>
    <col min="2" max="2" width="11.28515625" style="19" customWidth="1"/>
    <col min="3" max="3" width="2.28515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 s="30" customFormat="1">
      <c r="B1" s="29" t="s">
        <v>49</v>
      </c>
      <c r="C1" s="30" t="s">
        <v>3</v>
      </c>
      <c r="D1" s="49" t="s">
        <v>251</v>
      </c>
      <c r="F1" s="31"/>
      <c r="G1" s="32" t="s">
        <v>60</v>
      </c>
      <c r="H1" s="31"/>
      <c r="L1" s="679" t="s">
        <v>337</v>
      </c>
      <c r="M1" s="679"/>
      <c r="N1" s="679"/>
      <c r="O1" s="679"/>
      <c r="P1" s="679"/>
    </row>
    <row r="2" spans="2:16" s="30" customFormat="1">
      <c r="B2" s="29" t="s">
        <v>50</v>
      </c>
      <c r="C2" s="30" t="s">
        <v>3</v>
      </c>
      <c r="D2" s="50" t="s">
        <v>131</v>
      </c>
      <c r="F2" s="31"/>
      <c r="G2" s="32" t="s">
        <v>53</v>
      </c>
      <c r="H2" s="31"/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 s="30" customFormat="1">
      <c r="B3" s="29" t="s">
        <v>11</v>
      </c>
      <c r="C3" s="30" t="s">
        <v>3</v>
      </c>
      <c r="D3" s="51" t="s">
        <v>257</v>
      </c>
      <c r="F3" s="31"/>
      <c r="G3" s="32" t="s">
        <v>61</v>
      </c>
      <c r="H3" s="31" t="s">
        <v>254</v>
      </c>
      <c r="L3" s="92">
        <f>F15</f>
        <v>200000</v>
      </c>
      <c r="M3" s="92">
        <f>F16</f>
        <v>20000</v>
      </c>
      <c r="N3" s="92"/>
      <c r="O3" s="92">
        <v>19051.991278801215</v>
      </c>
      <c r="P3" s="92"/>
    </row>
    <row r="4" spans="2:16" s="30" customFormat="1">
      <c r="B4" s="29"/>
      <c r="D4" s="30" t="s">
        <v>52</v>
      </c>
      <c r="F4" s="31"/>
      <c r="G4" s="32" t="s">
        <v>259</v>
      </c>
      <c r="H4" s="31"/>
      <c r="M4" s="92">
        <f>F17</f>
        <v>20000</v>
      </c>
      <c r="N4" s="92"/>
      <c r="O4" s="92">
        <f>F19</f>
        <v>25262.268078736506</v>
      </c>
    </row>
    <row r="5" spans="2:16" s="30" customFormat="1">
      <c r="B5" s="29"/>
      <c r="F5" s="31"/>
      <c r="G5" s="32"/>
      <c r="H5" s="31"/>
    </row>
    <row r="6" spans="2:16" s="30" customFormat="1">
      <c r="B6" s="29"/>
      <c r="F6" s="31"/>
      <c r="G6" s="32" t="s">
        <v>260</v>
      </c>
      <c r="H6" s="31"/>
      <c r="M6" s="92"/>
    </row>
    <row r="7" spans="2:16" s="30" customFormat="1">
      <c r="B7" s="29"/>
      <c r="F7" s="31"/>
      <c r="G7" s="33" t="s">
        <v>55</v>
      </c>
      <c r="H7" s="31"/>
      <c r="M7" s="92"/>
    </row>
    <row r="8" spans="2:16" s="30" customFormat="1">
      <c r="B8" s="29"/>
      <c r="F8" s="31"/>
      <c r="G8" s="32"/>
      <c r="H8" s="31"/>
      <c r="M8" s="92"/>
    </row>
    <row r="9" spans="2:16" s="30" customFormat="1">
      <c r="B9" s="29"/>
      <c r="F9" s="31"/>
      <c r="G9" s="31"/>
      <c r="H9" s="31"/>
    </row>
    <row r="10" spans="2:16" s="30" customFormat="1">
      <c r="B10" s="29"/>
      <c r="F10" s="31"/>
      <c r="G10" s="31"/>
      <c r="H10" s="31"/>
    </row>
    <row r="11" spans="2:16" s="30" customFormat="1">
      <c r="B11" s="29"/>
      <c r="F11" s="31"/>
      <c r="G11" s="32" t="s">
        <v>56</v>
      </c>
      <c r="H11" s="31"/>
    </row>
    <row r="12" spans="2:16" s="30" customFormat="1">
      <c r="B12" s="29"/>
      <c r="F12" s="31"/>
      <c r="G12" s="31"/>
      <c r="H12" s="31"/>
    </row>
    <row r="13" spans="2:16" s="30" customFormat="1">
      <c r="B13" s="29"/>
      <c r="F13" s="31"/>
      <c r="G13" s="31"/>
      <c r="H13" s="31"/>
    </row>
    <row r="14" spans="2:16" s="30" customFormat="1">
      <c r="B14" s="29" t="s">
        <v>57</v>
      </c>
      <c r="D14" s="30" t="s">
        <v>58</v>
      </c>
      <c r="F14" s="34" t="s">
        <v>87</v>
      </c>
      <c r="G14" s="34" t="s">
        <v>88</v>
      </c>
      <c r="H14" s="34" t="s">
        <v>89</v>
      </c>
    </row>
    <row r="15" spans="2:16" s="30" customFormat="1" ht="15" customHeight="1">
      <c r="B15" s="29">
        <v>40698</v>
      </c>
      <c r="D15" s="30" t="s">
        <v>59</v>
      </c>
      <c r="F15" s="31">
        <v>200000</v>
      </c>
      <c r="G15" s="35"/>
      <c r="H15" s="31">
        <f>F15-G15</f>
        <v>200000</v>
      </c>
    </row>
    <row r="16" spans="2:16" s="30" customFormat="1" ht="15" customHeight="1">
      <c r="B16" s="29">
        <v>40698</v>
      </c>
      <c r="D16" s="30" t="s">
        <v>102</v>
      </c>
      <c r="F16" s="31">
        <v>20000</v>
      </c>
      <c r="G16" s="31"/>
      <c r="H16" s="31">
        <f>H15+F16-G16</f>
        <v>220000</v>
      </c>
    </row>
    <row r="17" spans="2:16" ht="15" customHeight="1">
      <c r="B17" s="19">
        <v>40732</v>
      </c>
      <c r="D17" t="s">
        <v>102</v>
      </c>
      <c r="F17" s="21">
        <v>20000</v>
      </c>
      <c r="H17" s="21">
        <f>H16+F17-G17</f>
        <v>240000</v>
      </c>
    </row>
    <row r="18" spans="2:16" ht="15" customHeight="1">
      <c r="B18" s="19">
        <v>41274</v>
      </c>
      <c r="D18" t="s">
        <v>392</v>
      </c>
      <c r="F18" s="21">
        <v>19051.991278801215</v>
      </c>
      <c r="H18" s="21">
        <f>H17+F18-G18</f>
        <v>259051.99127880123</v>
      </c>
    </row>
    <row r="19" spans="2:16" ht="15" customHeight="1">
      <c r="B19" s="19">
        <v>41640</v>
      </c>
      <c r="D19" t="s">
        <v>499</v>
      </c>
      <c r="F19" s="21">
        <v>25262.268078736506</v>
      </c>
      <c r="H19" s="21">
        <f>H18+F19-G19</f>
        <v>284314.25935753773</v>
      </c>
    </row>
    <row r="20" spans="2:16" ht="15" customHeight="1">
      <c r="B20" s="19">
        <v>41640</v>
      </c>
      <c r="D20" t="s">
        <v>503</v>
      </c>
      <c r="G20" s="21">
        <v>0</v>
      </c>
      <c r="H20" s="21">
        <f>H19+F20-G20</f>
        <v>284314.25935753773</v>
      </c>
    </row>
    <row r="21" spans="2:16" ht="15" customHeight="1"/>
    <row r="22" spans="2:16" ht="15" customHeight="1"/>
    <row r="23" spans="2:16" ht="15" customHeight="1"/>
    <row r="24" spans="2:16" ht="15" customHeight="1"/>
    <row r="25" spans="2:16" ht="15" customHeight="1"/>
    <row r="26" spans="2:16" ht="15" customHeight="1"/>
    <row r="27" spans="2:16" ht="15" customHeight="1"/>
    <row r="28" spans="2:16" ht="15" customHeight="1"/>
    <row r="29" spans="2:16" ht="15" customHeight="1"/>
    <row r="30" spans="2:16" ht="15" customHeight="1">
      <c r="L30" s="92">
        <f>SUM(L3:L11)</f>
        <v>200000</v>
      </c>
      <c r="M30" s="92">
        <f>SUM(M3:M11)</f>
        <v>40000</v>
      </c>
      <c r="N30" s="92">
        <f>SUM(N3:N11)</f>
        <v>0</v>
      </c>
      <c r="O30" s="92">
        <f>SUM(O3:O11)</f>
        <v>44314.259357537725</v>
      </c>
      <c r="P30" s="92">
        <f>SUM(P3:P11)</f>
        <v>0</v>
      </c>
    </row>
    <row r="31" spans="2:16" ht="15" customHeight="1">
      <c r="P31" s="92">
        <f>SUM(L30:P30)</f>
        <v>284314.25935753773</v>
      </c>
    </row>
    <row r="32" spans="2:1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8" ht="15" customHeight="1">
      <c r="D50" s="76" t="s">
        <v>307</v>
      </c>
      <c r="E50" s="48"/>
      <c r="F50" s="53">
        <f>SUM(F15:F49)</f>
        <v>284314.25935753773</v>
      </c>
      <c r="G50" s="53">
        <f>SUM(G15:G49)</f>
        <v>0</v>
      </c>
      <c r="H50" s="77">
        <f>F50-G50</f>
        <v>284314.25935753773</v>
      </c>
    </row>
  </sheetData>
  <mergeCells count="1">
    <mergeCell ref="L1:P1"/>
  </mergeCells>
  <phoneticPr fontId="7" type="noConversion"/>
  <pageMargins left="0.25" right="0.75" top="0.6" bottom="1" header="0.25" footer="0.5"/>
  <pageSetup scale="90" orientation="landscape" horizontalDpi="4294967293" verticalDpi="0" r:id="rId1"/>
  <headerFooter alignWithMargins="0"/>
  <legacyDrawing r:id="rId2"/>
  <oleObjects>
    <oleObject progId="CorelDRAW.Graphic.11" shapeId="27649" r:id="rId3"/>
    <oleObject progId="CorelDRAW.Graphic.11" shapeId="27650" r:id="rId4"/>
  </oleObjects>
</worksheet>
</file>

<file path=xl/worksheets/sheet87.xml><?xml version="1.0" encoding="utf-8"?>
<worksheet xmlns="http://schemas.openxmlformats.org/spreadsheetml/2006/main" xmlns:r="http://schemas.openxmlformats.org/officeDocument/2006/relationships">
  <sheetPr>
    <tabColor rgb="FFFFC000"/>
  </sheetPr>
  <dimension ref="B1:P62"/>
  <sheetViews>
    <sheetView topLeftCell="A10" workbookViewId="0">
      <selection activeCell="B57" sqref="B57:H62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156" customWidth="1"/>
    <col min="13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294</v>
      </c>
      <c r="G1" s="18" t="s">
        <v>991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144</v>
      </c>
      <c r="G2" s="18" t="s">
        <v>53</v>
      </c>
      <c r="L2" s="155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3" t="s">
        <v>265</v>
      </c>
      <c r="G3" s="18" t="s">
        <v>61</v>
      </c>
      <c r="H3" s="21" t="s">
        <v>314</v>
      </c>
      <c r="L3" s="156">
        <v>200000</v>
      </c>
      <c r="M3" s="92">
        <f>F16</f>
        <v>20000</v>
      </c>
      <c r="N3" s="92"/>
      <c r="O3" s="92">
        <f>F17</f>
        <v>17464.325338901119</v>
      </c>
      <c r="P3" s="92"/>
    </row>
    <row r="4" spans="2:16">
      <c r="D4" t="s">
        <v>52</v>
      </c>
      <c r="G4" s="18" t="s">
        <v>295</v>
      </c>
      <c r="L4" s="156">
        <v>500000</v>
      </c>
      <c r="M4" s="92">
        <v>50000</v>
      </c>
      <c r="N4" s="92"/>
      <c r="O4" s="92">
        <v>23157.079072175129</v>
      </c>
    </row>
    <row r="5" spans="2:16">
      <c r="G5" s="18"/>
      <c r="L5" s="156">
        <v>-200000</v>
      </c>
      <c r="M5" s="92">
        <v>50000</v>
      </c>
    </row>
    <row r="6" spans="2:16">
      <c r="G6" s="18" t="s">
        <v>296</v>
      </c>
      <c r="M6" s="92">
        <v>50000</v>
      </c>
    </row>
    <row r="7" spans="2:16">
      <c r="G7" s="24" t="s">
        <v>55</v>
      </c>
      <c r="M7" s="92">
        <v>100000</v>
      </c>
    </row>
    <row r="8" spans="2:16">
      <c r="G8" s="18"/>
      <c r="M8" s="21">
        <v>100000</v>
      </c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40845</v>
      </c>
      <c r="D15" t="s">
        <v>59</v>
      </c>
      <c r="F15" s="21">
        <v>200000</v>
      </c>
      <c r="G15" s="22"/>
      <c r="H15" s="21">
        <f>F15-G15</f>
        <v>200000</v>
      </c>
    </row>
    <row r="16" spans="2:16" ht="15" customHeight="1">
      <c r="B16" s="19">
        <v>40845</v>
      </c>
      <c r="D16" t="s">
        <v>102</v>
      </c>
      <c r="F16" s="21">
        <v>20000</v>
      </c>
      <c r="H16" s="21">
        <f t="shared" ref="H16:H30" si="0">H15+F16-G16</f>
        <v>220000</v>
      </c>
    </row>
    <row r="17" spans="2:8" ht="15" customHeight="1">
      <c r="B17" s="19">
        <v>41274</v>
      </c>
      <c r="D17" t="s">
        <v>392</v>
      </c>
      <c r="F17" s="21">
        <v>17464.325338901119</v>
      </c>
      <c r="H17" s="21">
        <f t="shared" si="0"/>
        <v>237464.32533890111</v>
      </c>
    </row>
    <row r="18" spans="2:8" ht="15" customHeight="1">
      <c r="B18" s="19">
        <v>41640</v>
      </c>
      <c r="D18" t="s">
        <v>499</v>
      </c>
      <c r="F18" s="21">
        <v>23157.079072175129</v>
      </c>
      <c r="H18" s="21">
        <f t="shared" si="0"/>
        <v>260621.40441107625</v>
      </c>
    </row>
    <row r="19" spans="2:8" ht="15" customHeight="1">
      <c r="B19" s="19">
        <v>41640</v>
      </c>
      <c r="D19" t="s">
        <v>503</v>
      </c>
      <c r="G19" s="21">
        <v>23000</v>
      </c>
      <c r="H19" s="21">
        <f t="shared" si="0"/>
        <v>237621.40441107625</v>
      </c>
    </row>
    <row r="20" spans="2:8" ht="15" customHeight="1">
      <c r="B20" s="554">
        <v>42004</v>
      </c>
      <c r="D20" s="21" t="s">
        <v>591</v>
      </c>
      <c r="F20" s="21">
        <v>12170.586740845351</v>
      </c>
      <c r="H20" s="21">
        <f t="shared" si="0"/>
        <v>249791.9911519216</v>
      </c>
    </row>
    <row r="21" spans="2:8" ht="15" customHeight="1">
      <c r="B21" s="554">
        <v>42369</v>
      </c>
      <c r="D21" s="21" t="s">
        <v>686</v>
      </c>
      <c r="F21" s="21">
        <v>9720.739303461718</v>
      </c>
      <c r="H21" s="21">
        <f t="shared" si="0"/>
        <v>259512.73045538331</v>
      </c>
    </row>
    <row r="22" spans="2:8" ht="15" customHeight="1">
      <c r="B22" s="554">
        <v>42735</v>
      </c>
      <c r="D22" s="21" t="s">
        <v>726</v>
      </c>
      <c r="F22" s="21">
        <v>12692.676128394865</v>
      </c>
      <c r="H22" s="21">
        <f t="shared" si="0"/>
        <v>272205.40658377815</v>
      </c>
    </row>
    <row r="23" spans="2:8" ht="15" customHeight="1">
      <c r="B23" s="554">
        <v>43465</v>
      </c>
      <c r="D23" t="s">
        <v>1014</v>
      </c>
      <c r="F23" s="342">
        <v>21727.448832995266</v>
      </c>
      <c r="H23" s="21">
        <f t="shared" si="0"/>
        <v>293932.85541677341</v>
      </c>
    </row>
    <row r="24" spans="2:8" ht="15" customHeight="1">
      <c r="B24" s="19">
        <v>43492</v>
      </c>
      <c r="D24" t="s">
        <v>963</v>
      </c>
      <c r="F24" s="21">
        <v>500000</v>
      </c>
      <c r="H24" s="21">
        <f t="shared" si="0"/>
        <v>793932.85541677335</v>
      </c>
    </row>
    <row r="25" spans="2:8" ht="15" customHeight="1">
      <c r="B25" s="336">
        <v>43492</v>
      </c>
      <c r="D25" t="s">
        <v>964</v>
      </c>
      <c r="G25" s="21">
        <v>200000</v>
      </c>
      <c r="H25" s="21">
        <f t="shared" si="0"/>
        <v>593932.85541677335</v>
      </c>
    </row>
    <row r="26" spans="2:8" ht="15" customHeight="1">
      <c r="B26" s="336">
        <v>43492</v>
      </c>
      <c r="D26" t="s">
        <v>917</v>
      </c>
      <c r="F26" s="21">
        <v>50000</v>
      </c>
      <c r="H26" s="21">
        <f t="shared" si="0"/>
        <v>643932.85541677335</v>
      </c>
    </row>
    <row r="27" spans="2:8" ht="15" customHeight="1">
      <c r="B27" s="19">
        <v>43499</v>
      </c>
      <c r="D27" t="s">
        <v>874</v>
      </c>
      <c r="F27" s="21">
        <v>50000</v>
      </c>
      <c r="H27" s="21">
        <f t="shared" si="0"/>
        <v>693932.85541677335</v>
      </c>
    </row>
    <row r="28" spans="2:8" ht="15" customHeight="1">
      <c r="B28" s="19">
        <v>43540</v>
      </c>
      <c r="D28" s="55" t="s">
        <v>862</v>
      </c>
      <c r="F28" s="21">
        <v>50000</v>
      </c>
      <c r="H28" s="21">
        <f t="shared" si="0"/>
        <v>743932.85541677335</v>
      </c>
    </row>
    <row r="29" spans="2:8" ht="15" customHeight="1">
      <c r="B29" s="19">
        <v>43606</v>
      </c>
      <c r="D29" s="55" t="s">
        <v>917</v>
      </c>
      <c r="F29" s="21">
        <v>100000</v>
      </c>
      <c r="H29" s="21">
        <f t="shared" si="0"/>
        <v>843932.85541677335</v>
      </c>
    </row>
    <row r="30" spans="2:8" ht="15" customHeight="1">
      <c r="B30" s="554">
        <v>43648</v>
      </c>
      <c r="D30" s="55" t="s">
        <v>917</v>
      </c>
      <c r="F30" s="21">
        <v>100000</v>
      </c>
      <c r="H30" s="21">
        <f t="shared" si="0"/>
        <v>943932.85541677335</v>
      </c>
    </row>
    <row r="31" spans="2:8" ht="15" customHeight="1"/>
    <row r="32" spans="2:8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spans="2:16" ht="15" hidden="1" customHeight="1"/>
    <row r="50" spans="2:16" hidden="1"/>
    <row r="51" spans="2:16" hidden="1"/>
    <row r="52" spans="2:16" hidden="1"/>
    <row r="54" spans="2:16" ht="15" customHeight="1">
      <c r="D54" s="76" t="s">
        <v>307</v>
      </c>
      <c r="E54" s="48"/>
      <c r="F54" s="597">
        <f>SUM(F15:F53)</f>
        <v>1166932.8554167734</v>
      </c>
      <c r="G54" s="597">
        <f>SUM(G15:G53)</f>
        <v>223000</v>
      </c>
      <c r="H54" s="77">
        <f>F54-G54</f>
        <v>943932.85541677335</v>
      </c>
      <c r="L54" s="156">
        <f>SUM(L3:L11)</f>
        <v>500000</v>
      </c>
      <c r="M54" s="92">
        <f>SUM(M3:M11)</f>
        <v>370000</v>
      </c>
      <c r="N54" s="92">
        <f>SUM(N3:N11)</f>
        <v>0</v>
      </c>
      <c r="O54" s="92">
        <f>SUM(O3:O11)</f>
        <v>40621.404411076248</v>
      </c>
      <c r="P54" s="92">
        <f>SUM(P3:P11)</f>
        <v>0</v>
      </c>
    </row>
    <row r="55" spans="2:16">
      <c r="E55" s="26" t="s">
        <v>1080</v>
      </c>
      <c r="H55" s="370">
        <v>944000</v>
      </c>
      <c r="P55" s="92">
        <f>SUM(L54:P54)</f>
        <v>910621.40441107622</v>
      </c>
    </row>
    <row r="56" spans="2:16">
      <c r="B56" s="554"/>
      <c r="E56" s="26"/>
      <c r="H56" s="370"/>
      <c r="P56" s="92"/>
    </row>
    <row r="57" spans="2:16">
      <c r="G57" s="307" t="s">
        <v>1075</v>
      </c>
    </row>
    <row r="58" spans="2:16">
      <c r="B58" s="55" t="s">
        <v>1078</v>
      </c>
      <c r="G58" s="307" t="s">
        <v>1076</v>
      </c>
    </row>
    <row r="62" spans="2:16" s="26" customFormat="1">
      <c r="B62" s="598" t="s">
        <v>1079</v>
      </c>
      <c r="F62" s="370"/>
      <c r="G62" s="24" t="s">
        <v>1077</v>
      </c>
      <c r="H62" s="370"/>
      <c r="L62" s="599"/>
      <c r="M62" s="450"/>
      <c r="N62" s="450"/>
      <c r="O62" s="450"/>
      <c r="P62" s="450"/>
    </row>
  </sheetData>
  <mergeCells count="1">
    <mergeCell ref="L1:P1"/>
  </mergeCells>
  <phoneticPr fontId="7" type="noConversion"/>
  <pageMargins left="0.5" right="0.74803149606299213" top="0.39370078740157483" bottom="0.39370078740157483" header="0.51181102362204722" footer="0.51181102362204722"/>
  <pageSetup paperSize="9" scale="90" orientation="portrait" horizontalDpi="4294967293" verticalDpi="0" r:id="rId1"/>
  <headerFooter alignWithMargins="0"/>
  <legacyDrawing r:id="rId2"/>
  <oleObjects>
    <oleObject progId="CorelDRAW.Graphic.11" shapeId="39937" r:id="rId3"/>
    <oleObject progId="CorelDRAW.Graphic.11" shapeId="39938" r:id="rId4"/>
  </oleObjects>
</worksheet>
</file>

<file path=xl/worksheets/sheet88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1:P50"/>
  <sheetViews>
    <sheetView workbookViewId="0">
      <selection activeCell="B18" sqref="B18:E18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93" t="s">
        <v>451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24" t="s">
        <v>154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97" t="s">
        <v>452</v>
      </c>
      <c r="G3" s="18" t="s">
        <v>61</v>
      </c>
      <c r="H3"/>
      <c r="L3" s="92"/>
      <c r="M3" s="92">
        <f>F15</f>
        <v>25000</v>
      </c>
      <c r="N3" s="92"/>
      <c r="O3" s="92">
        <v>2573.5402949177005</v>
      </c>
      <c r="P3" s="92"/>
    </row>
    <row r="4" spans="2:16">
      <c r="D4" s="93" t="s">
        <v>411</v>
      </c>
      <c r="G4" s="89" t="s">
        <v>379</v>
      </c>
      <c r="H4" s="99" t="s">
        <v>453</v>
      </c>
      <c r="M4" s="92">
        <f>F16</f>
        <v>25000</v>
      </c>
      <c r="N4" s="92"/>
      <c r="O4" s="92"/>
    </row>
    <row r="5" spans="2:16">
      <c r="G5" s="18"/>
      <c r="M5" s="92"/>
      <c r="N5" s="92"/>
    </row>
    <row r="6" spans="2:16">
      <c r="C6" s="683" t="s">
        <v>454</v>
      </c>
      <c r="D6" s="683"/>
      <c r="E6" s="683"/>
      <c r="G6" s="89" t="s">
        <v>381</v>
      </c>
      <c r="H6" s="21" t="str">
        <f>H4</f>
        <v>21/06/20013</v>
      </c>
      <c r="M6" s="92"/>
    </row>
    <row r="7" spans="2:16">
      <c r="G7" s="24" t="s">
        <v>55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41446</v>
      </c>
      <c r="D15" s="93" t="s">
        <v>437</v>
      </c>
      <c r="F15" s="21">
        <v>25000</v>
      </c>
      <c r="H15" s="21">
        <f>F15-G15</f>
        <v>25000</v>
      </c>
    </row>
    <row r="16" spans="2:16" ht="15" customHeight="1">
      <c r="B16" s="19">
        <v>41459</v>
      </c>
      <c r="D16" s="93" t="s">
        <v>450</v>
      </c>
      <c r="F16" s="21">
        <v>25000</v>
      </c>
      <c r="H16" s="21">
        <f>H15+F16-G16</f>
        <v>50000</v>
      </c>
    </row>
    <row r="17" spans="2:16" ht="15" customHeight="1">
      <c r="B17" s="19">
        <v>41640</v>
      </c>
      <c r="D17" s="93" t="s">
        <v>499</v>
      </c>
      <c r="F17" s="21">
        <v>2573.5402949177005</v>
      </c>
      <c r="H17" s="21">
        <f>H16+F17-G17</f>
        <v>52573.540294917701</v>
      </c>
    </row>
    <row r="18" spans="2:16" ht="15" customHeight="1"/>
    <row r="19" spans="2:16" ht="15" customHeight="1">
      <c r="D19" s="93"/>
    </row>
    <row r="20" spans="2:16" ht="15" customHeight="1"/>
    <row r="21" spans="2:16" ht="15" customHeight="1"/>
    <row r="22" spans="2:16" ht="15" customHeight="1"/>
    <row r="23" spans="2:16" ht="15" customHeight="1"/>
    <row r="24" spans="2:16" ht="15" customHeight="1"/>
    <row r="25" spans="2:16" ht="15" customHeight="1"/>
    <row r="26" spans="2:16" ht="15" customHeight="1"/>
    <row r="27" spans="2:16" ht="15" customHeight="1"/>
    <row r="28" spans="2:16" ht="15" customHeight="1"/>
    <row r="29" spans="2:16" ht="15" customHeight="1"/>
    <row r="30" spans="2:16" ht="15" customHeight="1">
      <c r="L30" s="92">
        <f>SUM(L3:L11)</f>
        <v>0</v>
      </c>
      <c r="M30" s="92">
        <f>SUM(M3:M11)</f>
        <v>50000</v>
      </c>
      <c r="N30" s="92">
        <f>SUM(N3:N11)</f>
        <v>0</v>
      </c>
      <c r="O30" s="92">
        <f>SUM(O3:O11)</f>
        <v>2573.5402949177005</v>
      </c>
      <c r="P30" s="92">
        <f>SUM(P3:P11)</f>
        <v>0</v>
      </c>
    </row>
    <row r="31" spans="2:16" ht="15" customHeight="1">
      <c r="P31" s="92">
        <f>SUM(L30:P30)</f>
        <v>52573.540294917701</v>
      </c>
    </row>
    <row r="32" spans="2:1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8" ht="15" customHeight="1">
      <c r="D50" s="76" t="s">
        <v>307</v>
      </c>
      <c r="E50" s="48"/>
      <c r="F50" s="53">
        <f>SUM(F15:F49)</f>
        <v>52573.540294917701</v>
      </c>
      <c r="G50" s="53">
        <f>SUM(G15:G49)</f>
        <v>0</v>
      </c>
      <c r="H50" s="77">
        <f>F50-G50</f>
        <v>52573.540294917701</v>
      </c>
    </row>
  </sheetData>
  <mergeCells count="2">
    <mergeCell ref="L1:P1"/>
    <mergeCell ref="C6:E6"/>
  </mergeCells>
  <pageMargins left="0.7" right="0.7" top="0.75" bottom="0.75" header="0.3" footer="0.3"/>
  <pageSetup paperSize="5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>
  <sheetPr>
    <tabColor rgb="FFFF0000"/>
  </sheetPr>
  <dimension ref="B1:P58"/>
  <sheetViews>
    <sheetView topLeftCell="A19" zoomScaleNormal="100" workbookViewId="0">
      <selection activeCell="M55" sqref="M55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21.140625" customWidth="1"/>
    <col min="6" max="6" width="12" style="21" customWidth="1"/>
    <col min="7" max="7" width="12.28515625" style="21" customWidth="1"/>
    <col min="8" max="8" width="13.7109375" style="21" customWidth="1"/>
    <col min="9" max="9" width="5" customWidth="1"/>
    <col min="12" max="12" width="14.140625" style="30" customWidth="1"/>
    <col min="13" max="13" width="14.140625" style="156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846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24" t="s">
        <v>156</v>
      </c>
      <c r="G2" s="18" t="s">
        <v>53</v>
      </c>
      <c r="L2" s="91" t="s">
        <v>338</v>
      </c>
      <c r="M2" s="155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847</v>
      </c>
      <c r="G3" s="18" t="s">
        <v>61</v>
      </c>
      <c r="H3"/>
      <c r="L3" s="485">
        <v>500000</v>
      </c>
      <c r="M3" s="358">
        <v>50000</v>
      </c>
      <c r="N3" s="485">
        <v>0</v>
      </c>
      <c r="O3" s="137"/>
      <c r="P3" s="485"/>
    </row>
    <row r="4" spans="2:16">
      <c r="D4" s="93" t="s">
        <v>411</v>
      </c>
      <c r="G4" s="89" t="s">
        <v>379</v>
      </c>
      <c r="H4" s="141">
        <f>B15</f>
        <v>43105</v>
      </c>
      <c r="L4" s="485"/>
      <c r="M4" s="358">
        <v>50000</v>
      </c>
      <c r="N4" s="485"/>
      <c r="O4" s="485"/>
      <c r="P4" s="357"/>
    </row>
    <row r="5" spans="2:16">
      <c r="G5" s="18"/>
      <c r="L5" s="357"/>
      <c r="M5" s="358">
        <v>100000</v>
      </c>
      <c r="N5" s="349"/>
      <c r="O5" s="349"/>
      <c r="P5" s="357"/>
    </row>
    <row r="6" spans="2:16">
      <c r="C6" s="689" t="s">
        <v>472</v>
      </c>
      <c r="D6" s="689"/>
      <c r="E6" s="689"/>
      <c r="F6" s="137"/>
      <c r="G6" s="345" t="s">
        <v>381</v>
      </c>
      <c r="H6" s="142">
        <f>H4</f>
        <v>43105</v>
      </c>
      <c r="L6" s="357"/>
      <c r="M6" s="358">
        <v>50000</v>
      </c>
      <c r="N6" s="349"/>
      <c r="O6" s="349"/>
      <c r="P6" s="357"/>
    </row>
    <row r="7" spans="2:16">
      <c r="C7" s="145"/>
      <c r="D7" s="145"/>
      <c r="E7" s="145"/>
      <c r="F7" s="137"/>
      <c r="G7" s="346" t="s">
        <v>55</v>
      </c>
      <c r="L7" s="357"/>
      <c r="M7" s="358">
        <v>50000</v>
      </c>
      <c r="N7" s="357"/>
      <c r="O7" s="357"/>
      <c r="P7" s="357"/>
    </row>
    <row r="8" spans="2:16">
      <c r="C8" s="145"/>
      <c r="D8" s="145"/>
      <c r="E8" s="145"/>
      <c r="F8" s="137"/>
      <c r="G8" s="347"/>
      <c r="L8" s="357"/>
      <c r="M8" s="358">
        <v>50000</v>
      </c>
      <c r="N8" s="357"/>
      <c r="O8" s="357"/>
      <c r="P8" s="357"/>
    </row>
    <row r="9" spans="2:16">
      <c r="C9" s="145"/>
      <c r="D9" s="145"/>
      <c r="E9" s="145"/>
      <c r="F9" s="137"/>
      <c r="G9" s="137"/>
      <c r="L9" s="357"/>
      <c r="M9" s="358">
        <v>50000</v>
      </c>
      <c r="N9" s="357"/>
      <c r="O9" s="357"/>
      <c r="P9" s="357"/>
    </row>
    <row r="10" spans="2:16">
      <c r="C10" s="145"/>
      <c r="D10" s="145"/>
      <c r="E10" s="145"/>
      <c r="F10" s="137"/>
      <c r="G10" s="137"/>
      <c r="L10" s="357"/>
      <c r="M10" s="358">
        <v>50000</v>
      </c>
      <c r="N10" s="357"/>
      <c r="O10" s="357"/>
      <c r="P10" s="357"/>
    </row>
    <row r="11" spans="2:16">
      <c r="C11" s="145"/>
      <c r="D11" s="145"/>
      <c r="E11" s="145"/>
      <c r="F11" s="137"/>
      <c r="G11" s="347" t="s">
        <v>56</v>
      </c>
      <c r="L11" s="357"/>
      <c r="M11" s="358">
        <v>50000</v>
      </c>
      <c r="N11" s="357"/>
      <c r="O11" s="357"/>
      <c r="P11" s="357"/>
    </row>
    <row r="12" spans="2:16">
      <c r="C12" s="145"/>
      <c r="D12" s="145"/>
      <c r="E12" s="145"/>
      <c r="F12" s="137"/>
      <c r="G12" s="137"/>
      <c r="L12" s="357"/>
      <c r="M12" s="358">
        <v>50000</v>
      </c>
      <c r="N12" s="357"/>
      <c r="O12" s="357"/>
      <c r="P12" s="357"/>
    </row>
    <row r="13" spans="2:16">
      <c r="C13" s="145"/>
      <c r="D13" s="145"/>
      <c r="E13" s="145"/>
      <c r="F13" s="137"/>
      <c r="G13" s="137"/>
      <c r="M13" s="156">
        <v>50000</v>
      </c>
    </row>
    <row r="14" spans="2:16">
      <c r="B14" s="19" t="s">
        <v>57</v>
      </c>
      <c r="C14" s="145"/>
      <c r="D14" s="145" t="s">
        <v>58</v>
      </c>
      <c r="E14" s="145"/>
      <c r="F14" s="348" t="s">
        <v>87</v>
      </c>
      <c r="G14" s="348" t="s">
        <v>88</v>
      </c>
      <c r="H14" s="20" t="s">
        <v>89</v>
      </c>
      <c r="M14" s="156">
        <v>100000</v>
      </c>
    </row>
    <row r="15" spans="2:16" ht="15" customHeight="1">
      <c r="B15" s="19">
        <v>43105</v>
      </c>
      <c r="C15" s="145"/>
      <c r="D15" s="168" t="s">
        <v>614</v>
      </c>
      <c r="E15" s="145"/>
      <c r="F15" s="137">
        <v>500000</v>
      </c>
      <c r="G15" s="137"/>
      <c r="H15" s="21">
        <f>F15-G15</f>
        <v>500000</v>
      </c>
      <c r="M15" s="156">
        <v>100000</v>
      </c>
    </row>
    <row r="16" spans="2:16" ht="15" customHeight="1">
      <c r="B16" s="19">
        <v>43172</v>
      </c>
      <c r="C16" s="145"/>
      <c r="D16" s="168" t="s">
        <v>286</v>
      </c>
      <c r="E16" s="145"/>
      <c r="F16" s="137">
        <v>50000</v>
      </c>
      <c r="G16" s="137"/>
      <c r="H16" s="21">
        <f t="shared" ref="H16:H38" si="0">H15+F16-G16</f>
        <v>550000</v>
      </c>
      <c r="M16" s="156">
        <v>100000</v>
      </c>
    </row>
    <row r="17" spans="2:13" ht="15" customHeight="1">
      <c r="B17" s="19">
        <v>43191</v>
      </c>
      <c r="C17" s="145"/>
      <c r="D17" s="168" t="s">
        <v>286</v>
      </c>
      <c r="E17" s="145"/>
      <c r="F17" s="137">
        <v>50000</v>
      </c>
      <c r="G17" s="137"/>
      <c r="H17" s="21">
        <f t="shared" si="0"/>
        <v>600000</v>
      </c>
      <c r="M17" s="156">
        <v>50000</v>
      </c>
    </row>
    <row r="18" spans="2:13" ht="15" customHeight="1">
      <c r="B18" s="19">
        <v>43273</v>
      </c>
      <c r="C18" s="145"/>
      <c r="D18" s="168" t="s">
        <v>887</v>
      </c>
      <c r="E18" s="145"/>
      <c r="F18" s="137">
        <v>100000</v>
      </c>
      <c r="G18" s="137"/>
      <c r="H18" s="21">
        <f t="shared" si="0"/>
        <v>700000</v>
      </c>
      <c r="M18" s="156">
        <v>50000</v>
      </c>
    </row>
    <row r="19" spans="2:13" ht="15" customHeight="1">
      <c r="B19" s="19">
        <v>43292</v>
      </c>
      <c r="C19" s="145"/>
      <c r="D19" s="168" t="s">
        <v>894</v>
      </c>
      <c r="E19" s="145"/>
      <c r="F19" s="137">
        <v>50000</v>
      </c>
      <c r="G19" s="137"/>
      <c r="H19" s="21">
        <f t="shared" si="0"/>
        <v>750000</v>
      </c>
      <c r="M19" s="156">
        <v>50000</v>
      </c>
    </row>
    <row r="20" spans="2:13" ht="15" customHeight="1">
      <c r="B20" s="19">
        <v>43300</v>
      </c>
      <c r="C20" s="145"/>
      <c r="D20" s="168" t="s">
        <v>897</v>
      </c>
      <c r="E20" s="145"/>
      <c r="F20" s="137">
        <v>50000</v>
      </c>
      <c r="G20" s="137"/>
      <c r="H20" s="21">
        <f t="shared" si="0"/>
        <v>800000</v>
      </c>
      <c r="M20" s="156">
        <v>50000</v>
      </c>
    </row>
    <row r="21" spans="2:13" ht="15" customHeight="1">
      <c r="B21" s="19">
        <v>43323</v>
      </c>
      <c r="C21" s="145"/>
      <c r="D21" s="168" t="s">
        <v>901</v>
      </c>
      <c r="E21" s="145"/>
      <c r="F21" s="137">
        <v>50000</v>
      </c>
      <c r="G21" s="137"/>
      <c r="H21" s="21">
        <f t="shared" si="0"/>
        <v>850000</v>
      </c>
      <c r="M21" s="156">
        <v>100000</v>
      </c>
    </row>
    <row r="22" spans="2:13" ht="15" customHeight="1">
      <c r="B22" s="19">
        <v>43353</v>
      </c>
      <c r="C22" s="145"/>
      <c r="D22" s="168" t="s">
        <v>908</v>
      </c>
      <c r="E22" s="145"/>
      <c r="F22" s="137">
        <v>50000</v>
      </c>
      <c r="G22" s="137"/>
      <c r="H22" s="21">
        <f t="shared" si="0"/>
        <v>900000</v>
      </c>
      <c r="M22" s="21">
        <v>450000</v>
      </c>
    </row>
    <row r="23" spans="2:13" ht="15" customHeight="1">
      <c r="B23" s="19">
        <v>43393</v>
      </c>
      <c r="C23" s="145"/>
      <c r="D23" s="168" t="s">
        <v>918</v>
      </c>
      <c r="E23" s="145"/>
      <c r="F23" s="137">
        <v>50000</v>
      </c>
      <c r="G23" s="137"/>
      <c r="H23" s="21">
        <f t="shared" si="0"/>
        <v>950000</v>
      </c>
    </row>
    <row r="24" spans="2:13" ht="15" customHeight="1">
      <c r="B24" s="19">
        <v>43430</v>
      </c>
      <c r="C24" s="145"/>
      <c r="D24" s="168" t="s">
        <v>922</v>
      </c>
      <c r="E24" s="145"/>
      <c r="F24" s="137">
        <v>50000</v>
      </c>
      <c r="G24" s="137"/>
      <c r="H24" s="21">
        <f t="shared" si="0"/>
        <v>1000000</v>
      </c>
    </row>
    <row r="25" spans="2:13" ht="15" customHeight="1">
      <c r="B25" s="554">
        <v>43465</v>
      </c>
      <c r="C25" s="145"/>
      <c r="D25" s="168" t="s">
        <v>393</v>
      </c>
      <c r="E25" s="145"/>
      <c r="F25" s="291">
        <v>98761.13105906939</v>
      </c>
      <c r="G25"/>
      <c r="H25" s="21">
        <f t="shared" si="0"/>
        <v>1098761.1310590694</v>
      </c>
    </row>
    <row r="26" spans="2:13" ht="15" customHeight="1">
      <c r="B26" s="19">
        <v>43472</v>
      </c>
      <c r="C26" s="145"/>
      <c r="D26" s="168" t="s">
        <v>951</v>
      </c>
      <c r="E26" s="145"/>
      <c r="F26" s="137">
        <v>50000</v>
      </c>
      <c r="G26" s="137"/>
      <c r="H26" s="21">
        <f t="shared" si="0"/>
        <v>1148761.1310590694</v>
      </c>
    </row>
    <row r="27" spans="2:13" ht="15" customHeight="1">
      <c r="B27" s="19">
        <v>43477</v>
      </c>
      <c r="C27" s="145"/>
      <c r="D27" s="168" t="s">
        <v>952</v>
      </c>
      <c r="E27" s="145"/>
      <c r="F27" s="137">
        <v>50000</v>
      </c>
      <c r="G27" s="137"/>
      <c r="H27" s="21">
        <f t="shared" si="0"/>
        <v>1198761.1310590694</v>
      </c>
    </row>
    <row r="28" spans="2:13" ht="15" customHeight="1">
      <c r="B28" s="19">
        <v>43518</v>
      </c>
      <c r="C28" s="145"/>
      <c r="D28" s="168" t="s">
        <v>1005</v>
      </c>
      <c r="E28" s="145"/>
      <c r="F28" s="137">
        <v>100000</v>
      </c>
      <c r="G28" s="137"/>
      <c r="H28" s="21">
        <f t="shared" si="0"/>
        <v>1298761.1310590694</v>
      </c>
    </row>
    <row r="29" spans="2:13" ht="15" customHeight="1">
      <c r="B29" s="554">
        <v>43753</v>
      </c>
      <c r="C29" s="145"/>
      <c r="D29" s="168" t="s">
        <v>993</v>
      </c>
      <c r="E29" s="145"/>
      <c r="F29" s="137">
        <v>100000</v>
      </c>
      <c r="G29" s="137"/>
      <c r="H29" s="21">
        <f t="shared" si="0"/>
        <v>1398761.1310590694</v>
      </c>
    </row>
    <row r="30" spans="2:13" ht="15" customHeight="1">
      <c r="B30" s="19">
        <v>43781</v>
      </c>
      <c r="C30" s="145"/>
      <c r="D30" s="168" t="s">
        <v>993</v>
      </c>
      <c r="E30" s="145"/>
      <c r="F30" s="137">
        <v>100000</v>
      </c>
      <c r="G30" s="137"/>
      <c r="H30" s="21">
        <f t="shared" si="0"/>
        <v>1498761.1310590694</v>
      </c>
    </row>
    <row r="31" spans="2:13" ht="15" customHeight="1">
      <c r="B31" s="554">
        <v>43830</v>
      </c>
      <c r="C31" s="145"/>
      <c r="D31" s="168" t="s">
        <v>393</v>
      </c>
      <c r="E31" s="145"/>
      <c r="F31" s="156">
        <v>81069.963207857974</v>
      </c>
      <c r="G31"/>
      <c r="H31" s="21">
        <f t="shared" si="0"/>
        <v>1579831.0942669273</v>
      </c>
    </row>
    <row r="32" spans="2:13" ht="15" customHeight="1">
      <c r="B32" s="19">
        <v>43931</v>
      </c>
      <c r="C32" s="145"/>
      <c r="D32" s="168" t="s">
        <v>993</v>
      </c>
      <c r="E32" s="145"/>
      <c r="F32" s="137">
        <v>50000</v>
      </c>
      <c r="G32" s="137"/>
      <c r="H32" s="21">
        <f t="shared" si="0"/>
        <v>1629831.0942669273</v>
      </c>
    </row>
    <row r="33" spans="2:16" ht="15" customHeight="1">
      <c r="B33" s="19">
        <v>43980</v>
      </c>
      <c r="C33" s="145"/>
      <c r="D33" s="168" t="s">
        <v>993</v>
      </c>
      <c r="E33" s="145"/>
      <c r="F33" s="137">
        <v>50000</v>
      </c>
      <c r="G33" s="137"/>
      <c r="H33" s="21">
        <f t="shared" si="0"/>
        <v>1679831.0942669273</v>
      </c>
    </row>
    <row r="34" spans="2:16" ht="15" customHeight="1">
      <c r="B34" s="19">
        <v>43987</v>
      </c>
      <c r="C34" s="145"/>
      <c r="D34" s="168" t="s">
        <v>993</v>
      </c>
      <c r="E34" s="145"/>
      <c r="F34" s="137">
        <v>50000</v>
      </c>
      <c r="G34" s="137"/>
      <c r="H34" s="21">
        <f t="shared" si="0"/>
        <v>1729831.0942669273</v>
      </c>
    </row>
    <row r="35" spans="2:16" ht="15" customHeight="1">
      <c r="B35" s="19">
        <v>44041</v>
      </c>
      <c r="C35" s="145"/>
      <c r="D35" s="168" t="s">
        <v>993</v>
      </c>
      <c r="E35" s="145"/>
      <c r="F35" s="137">
        <v>50000</v>
      </c>
      <c r="G35" s="137"/>
      <c r="H35" s="21">
        <f t="shared" si="0"/>
        <v>1779831.0942669273</v>
      </c>
    </row>
    <row r="36" spans="2:16" ht="15" customHeight="1">
      <c r="B36" s="19">
        <v>44081</v>
      </c>
      <c r="D36" s="168" t="s">
        <v>993</v>
      </c>
      <c r="F36" s="21">
        <v>100000</v>
      </c>
      <c r="H36" s="21">
        <f t="shared" si="0"/>
        <v>1879831.0942669273</v>
      </c>
    </row>
    <row r="37" spans="2:16" ht="15" customHeight="1">
      <c r="B37" s="554">
        <v>44112</v>
      </c>
      <c r="D37" s="168" t="s">
        <v>1165</v>
      </c>
      <c r="F37" s="21">
        <v>450000</v>
      </c>
      <c r="H37" s="21">
        <f t="shared" si="0"/>
        <v>2329831.0942669273</v>
      </c>
    </row>
    <row r="38" spans="2:16" ht="15" customHeight="1">
      <c r="B38" s="554">
        <v>44112</v>
      </c>
      <c r="D38" s="168" t="s">
        <v>1166</v>
      </c>
      <c r="G38" s="21">
        <v>2329831.0942669273</v>
      </c>
      <c r="H38" s="21">
        <f t="shared" si="0"/>
        <v>0</v>
      </c>
    </row>
    <row r="39" spans="2:16" ht="15" customHeight="1">
      <c r="B39"/>
      <c r="F39"/>
      <c r="G39"/>
      <c r="H39"/>
      <c r="L39"/>
      <c r="M39" s="291"/>
      <c r="N39"/>
      <c r="O39"/>
      <c r="P39"/>
    </row>
    <row r="40" spans="2:16" ht="15" hidden="1" customHeight="1">
      <c r="B40"/>
      <c r="F40"/>
      <c r="G40"/>
      <c r="H40"/>
      <c r="L40"/>
      <c r="M40" s="291"/>
      <c r="N40"/>
      <c r="O40"/>
      <c r="P40"/>
    </row>
    <row r="41" spans="2:16" ht="15" hidden="1" customHeight="1">
      <c r="B41"/>
      <c r="F41"/>
      <c r="G41"/>
      <c r="H41"/>
      <c r="L41"/>
      <c r="M41" s="291"/>
      <c r="N41"/>
      <c r="O41"/>
      <c r="P41"/>
    </row>
    <row r="42" spans="2:16" ht="15" hidden="1" customHeight="1">
      <c r="B42"/>
      <c r="F42"/>
      <c r="G42"/>
      <c r="H42"/>
      <c r="L42"/>
      <c r="M42" s="291"/>
      <c r="N42"/>
      <c r="O42"/>
      <c r="P42"/>
    </row>
    <row r="43" spans="2:16" ht="15" hidden="1" customHeight="1">
      <c r="B43"/>
      <c r="F43"/>
      <c r="G43"/>
      <c r="H43"/>
      <c r="L43"/>
      <c r="M43" s="291"/>
      <c r="N43"/>
      <c r="O43"/>
      <c r="P43"/>
    </row>
    <row r="44" spans="2:16" ht="15" hidden="1" customHeight="1">
      <c r="B44"/>
      <c r="F44"/>
      <c r="G44"/>
      <c r="H44"/>
      <c r="L44"/>
      <c r="M44" s="291"/>
      <c r="N44"/>
      <c r="O44"/>
      <c r="P44"/>
    </row>
    <row r="45" spans="2:16" ht="15" hidden="1" customHeight="1">
      <c r="B45"/>
      <c r="F45"/>
      <c r="G45"/>
      <c r="H45"/>
      <c r="L45"/>
      <c r="M45" s="291"/>
      <c r="N45"/>
      <c r="O45"/>
      <c r="P45"/>
    </row>
    <row r="46" spans="2:16" ht="15" hidden="1" customHeight="1">
      <c r="B46"/>
      <c r="F46"/>
      <c r="G46"/>
      <c r="H46"/>
      <c r="L46"/>
      <c r="M46" s="291"/>
      <c r="N46"/>
      <c r="O46"/>
      <c r="P46"/>
    </row>
    <row r="47" spans="2:16" ht="15" hidden="1" customHeight="1">
      <c r="B47"/>
      <c r="F47"/>
      <c r="G47"/>
      <c r="H47"/>
      <c r="L47"/>
      <c r="M47" s="291"/>
      <c r="N47"/>
      <c r="O47"/>
      <c r="P47"/>
    </row>
    <row r="48" spans="2:16" ht="15" hidden="1" customHeight="1">
      <c r="B48"/>
      <c r="F48"/>
      <c r="G48"/>
      <c r="H48"/>
      <c r="L48"/>
      <c r="M48" s="291"/>
      <c r="N48"/>
      <c r="O48"/>
      <c r="P48"/>
    </row>
    <row r="49" spans="2:16" ht="15" hidden="1" customHeight="1">
      <c r="B49"/>
      <c r="F49"/>
      <c r="G49"/>
      <c r="H49"/>
      <c r="L49"/>
      <c r="M49" s="291"/>
      <c r="N49"/>
      <c r="O49"/>
      <c r="P49"/>
    </row>
    <row r="50" spans="2:16" hidden="1"/>
    <row r="51" spans="2:16" hidden="1"/>
    <row r="54" spans="2:16" ht="15" customHeight="1">
      <c r="B54"/>
      <c r="D54" s="76" t="s">
        <v>307</v>
      </c>
      <c r="E54" s="48"/>
      <c r="F54" s="160">
        <f>SUM(F15:F53)</f>
        <v>2329831.0942669273</v>
      </c>
      <c r="G54" s="160">
        <f>SUM(G15:G53)</f>
        <v>2329831.0942669273</v>
      </c>
      <c r="H54" s="77">
        <f>F54-G54</f>
        <v>0</v>
      </c>
      <c r="L54" s="92">
        <f>SUM(L3:L11)</f>
        <v>500000</v>
      </c>
      <c r="M54" s="156">
        <f>SUM(M3:M53)</f>
        <v>1650000</v>
      </c>
      <c r="N54" s="92">
        <f>SUM(N3:N50)</f>
        <v>0</v>
      </c>
      <c r="O54" s="92">
        <f>SUM(O3:O11)</f>
        <v>0</v>
      </c>
      <c r="P54" s="92">
        <f>SUM(P3:P11)</f>
        <v>0</v>
      </c>
    </row>
    <row r="55" spans="2:16">
      <c r="P55" s="92">
        <f>SUM(L54:P54)</f>
        <v>2150000</v>
      </c>
    </row>
    <row r="57" spans="2:16">
      <c r="L57"/>
      <c r="M57" s="291"/>
      <c r="N57"/>
      <c r="O57"/>
      <c r="P57" s="344"/>
    </row>
    <row r="58" spans="2:16">
      <c r="L58" s="342">
        <v>24382.14404656113</v>
      </c>
      <c r="M58" s="342">
        <v>52518.42677035767</v>
      </c>
      <c r="N58" s="342">
        <v>59458.764318382593</v>
      </c>
      <c r="O58" s="342">
        <v>24000</v>
      </c>
      <c r="P58" s="342">
        <v>1762359.3351353013</v>
      </c>
    </row>
  </sheetData>
  <mergeCells count="2">
    <mergeCell ref="L1:P1"/>
    <mergeCell ref="C6:E6"/>
  </mergeCells>
  <pageMargins left="0.31496062992125984" right="0.70866141732283472" top="0.35433070866141736" bottom="0.35433070866141736" header="0.31496062992125984" footer="0.31496062992125984"/>
  <pageSetup paperSize="9" scale="9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>
    <tabColor rgb="FFFFC000"/>
  </sheetPr>
  <dimension ref="B1:P50"/>
  <sheetViews>
    <sheetView workbookViewId="0">
      <selection activeCell="Q17" sqref="Q17"/>
    </sheetView>
  </sheetViews>
  <sheetFormatPr defaultRowHeight="12.75"/>
  <cols>
    <col min="1" max="1" width="1.85546875" customWidth="1"/>
    <col min="2" max="2" width="10.140625" style="19" customWidth="1"/>
    <col min="3" max="3" width="1.42578125" customWidth="1"/>
    <col min="5" max="5" width="12" customWidth="1"/>
    <col min="6" max="6" width="11" style="21" customWidth="1"/>
    <col min="7" max="7" width="10.42578125" style="21" customWidth="1"/>
    <col min="8" max="8" width="10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26" t="s">
        <v>85</v>
      </c>
      <c r="G1" s="36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7" t="s">
        <v>77</v>
      </c>
      <c r="G2" s="18" t="s">
        <v>53</v>
      </c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3" t="s">
        <v>84</v>
      </c>
      <c r="G3" s="18" t="s">
        <v>61</v>
      </c>
      <c r="H3" s="18" t="s">
        <v>86</v>
      </c>
      <c r="L3" s="92">
        <f>F15</f>
        <v>200000</v>
      </c>
      <c r="M3" s="92">
        <f>F16</f>
        <v>20000</v>
      </c>
      <c r="N3" s="92"/>
      <c r="O3" s="92">
        <f>F18</f>
        <v>25402.655038401623</v>
      </c>
      <c r="P3" s="92"/>
    </row>
    <row r="4" spans="2:16">
      <c r="D4" t="s">
        <v>52</v>
      </c>
      <c r="G4" s="18" t="s">
        <v>130</v>
      </c>
      <c r="M4" s="92">
        <f>F17</f>
        <v>100000</v>
      </c>
      <c r="N4" s="92"/>
      <c r="O4" s="92">
        <f>F19</f>
        <v>33683.024104982003</v>
      </c>
    </row>
    <row r="5" spans="2:16">
      <c r="G5" s="18"/>
    </row>
    <row r="6" spans="2:16">
      <c r="G6" s="18" t="s">
        <v>122</v>
      </c>
      <c r="M6" s="92"/>
    </row>
    <row r="7" spans="2:16">
      <c r="G7" s="24" t="s">
        <v>55</v>
      </c>
      <c r="M7" s="92"/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40663</v>
      </c>
      <c r="D15" t="s">
        <v>59</v>
      </c>
      <c r="F15" s="21">
        <v>200000</v>
      </c>
      <c r="G15" s="22"/>
      <c r="H15" s="21">
        <f>F15-G15</f>
        <v>200000</v>
      </c>
    </row>
    <row r="16" spans="2:16" ht="15" customHeight="1">
      <c r="B16" s="19">
        <v>40663</v>
      </c>
      <c r="D16" t="s">
        <v>102</v>
      </c>
      <c r="F16" s="21">
        <v>20000</v>
      </c>
      <c r="H16" s="21">
        <f>H15+F16-G16</f>
        <v>220000</v>
      </c>
    </row>
    <row r="17" spans="2:16" ht="15" customHeight="1">
      <c r="B17" s="19">
        <v>40766</v>
      </c>
      <c r="D17" t="s">
        <v>102</v>
      </c>
      <c r="F17" s="21">
        <v>100000</v>
      </c>
      <c r="H17" s="21">
        <f>H16+F17-G17</f>
        <v>320000</v>
      </c>
    </row>
    <row r="18" spans="2:16" ht="15" customHeight="1">
      <c r="B18" s="19">
        <v>41274</v>
      </c>
      <c r="D18" t="s">
        <v>392</v>
      </c>
      <c r="F18" s="21">
        <v>25402.655038401623</v>
      </c>
      <c r="H18" s="21">
        <f>H17+F18-G18</f>
        <v>345402.6550384016</v>
      </c>
    </row>
    <row r="19" spans="2:16" ht="15" customHeight="1">
      <c r="B19" s="19">
        <v>41640</v>
      </c>
      <c r="D19" t="s">
        <v>499</v>
      </c>
      <c r="F19" s="21">
        <v>33683.024104982003</v>
      </c>
      <c r="H19" s="21">
        <f>H18+F19-G19</f>
        <v>379085.67914338363</v>
      </c>
    </row>
    <row r="20" spans="2:16" ht="15" customHeight="1">
      <c r="B20" s="19">
        <v>41640</v>
      </c>
      <c r="D20" t="s">
        <v>503</v>
      </c>
      <c r="G20" s="21">
        <v>0</v>
      </c>
      <c r="H20" s="21">
        <f>H19+F20-G20</f>
        <v>379085.67914338363</v>
      </c>
    </row>
    <row r="21" spans="2:16" ht="15" customHeight="1"/>
    <row r="22" spans="2:16" ht="15" customHeight="1"/>
    <row r="23" spans="2:16" ht="15" customHeight="1"/>
    <row r="24" spans="2:16" ht="15" customHeight="1"/>
    <row r="25" spans="2:16" ht="15" customHeight="1"/>
    <row r="26" spans="2:16" ht="15" customHeight="1"/>
    <row r="27" spans="2:16" ht="15" customHeight="1"/>
    <row r="28" spans="2:16" ht="15" customHeight="1"/>
    <row r="29" spans="2:16" ht="15" customHeight="1"/>
    <row r="30" spans="2:16" ht="15" customHeight="1">
      <c r="L30" s="92">
        <f>SUM(L3:L11)</f>
        <v>200000</v>
      </c>
      <c r="M30" s="92">
        <f>SUM(M3:M11)</f>
        <v>120000</v>
      </c>
      <c r="N30" s="92">
        <f>SUM(N3:N11)</f>
        <v>0</v>
      </c>
      <c r="O30" s="92">
        <f>SUM(O3:O11)</f>
        <v>59085.679143383626</v>
      </c>
      <c r="P30" s="92">
        <f>SUM(P3:P11)</f>
        <v>0</v>
      </c>
    </row>
    <row r="31" spans="2:16" ht="15" customHeight="1">
      <c r="P31" s="92">
        <f>SUM(L30:P30)</f>
        <v>379085.67914338363</v>
      </c>
    </row>
    <row r="32" spans="2:16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50" spans="4:8" ht="15" customHeight="1">
      <c r="D50" s="76" t="s">
        <v>307</v>
      </c>
      <c r="E50" s="48"/>
      <c r="F50" s="53">
        <f>SUM(F15:F49)</f>
        <v>379085.67914338363</v>
      </c>
      <c r="G50" s="53">
        <f>SUM(G15:G49)</f>
        <v>0</v>
      </c>
      <c r="H50" s="77">
        <f>F50-G50</f>
        <v>379085.67914338363</v>
      </c>
    </row>
  </sheetData>
  <mergeCells count="1">
    <mergeCell ref="L1:P1"/>
  </mergeCells>
  <phoneticPr fontId="7" type="noConversion"/>
  <pageMargins left="0" right="0.75" top="0.67" bottom="1" header="0.5" footer="0.5"/>
  <pageSetup orientation="landscape" horizontalDpi="4294967293" verticalDpi="0" r:id="rId1"/>
  <headerFooter alignWithMargins="0"/>
  <legacyDrawing r:id="rId2"/>
  <oleObjects>
    <oleObject progId="CorelDRAW.Graphic.11" shapeId="22529" r:id="rId3"/>
    <oleObject progId="CorelDRAW.Graphic.11" shapeId="22530" r:id="rId4"/>
  </oleObjects>
</worksheet>
</file>

<file path=xl/worksheets/sheet9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1:P48"/>
  <sheetViews>
    <sheetView zoomScale="90" zoomScaleNormal="90" workbookViewId="0">
      <selection activeCell="B36" sqref="B36"/>
    </sheetView>
  </sheetViews>
  <sheetFormatPr defaultRowHeight="12.75"/>
  <cols>
    <col min="1" max="1" width="0.7109375" style="55" customWidth="1"/>
    <col min="2" max="2" width="11.28515625" style="54" customWidth="1"/>
    <col min="3" max="3" width="1.5703125" style="55" customWidth="1"/>
    <col min="4" max="4" width="9.140625" style="55"/>
    <col min="5" max="5" width="8.140625" style="55" customWidth="1"/>
    <col min="6" max="6" width="12.85546875" style="66" customWidth="1"/>
    <col min="7" max="7" width="13.28515625" style="66" customWidth="1"/>
    <col min="8" max="8" width="16.7109375" style="66" customWidth="1"/>
    <col min="9" max="9" width="5" style="55" customWidth="1"/>
    <col min="10" max="11" width="9.140625" style="55"/>
    <col min="12" max="12" width="14.140625" style="55" customWidth="1"/>
    <col min="13" max="13" width="14.140625" style="313" customWidth="1"/>
    <col min="14" max="15" width="14.140625" style="55" customWidth="1"/>
    <col min="16" max="16" width="17.140625" style="55" customWidth="1"/>
    <col min="17" max="16384" width="9.140625" style="55"/>
  </cols>
  <sheetData>
    <row r="1" spans="2:16">
      <c r="B1" s="54" t="s">
        <v>49</v>
      </c>
      <c r="C1" s="55" t="s">
        <v>3</v>
      </c>
      <c r="D1" s="55" t="s">
        <v>880</v>
      </c>
      <c r="G1" s="307" t="s">
        <v>1022</v>
      </c>
      <c r="L1" s="682" t="s">
        <v>337</v>
      </c>
      <c r="M1" s="682"/>
      <c r="N1" s="682"/>
      <c r="O1" s="682"/>
      <c r="P1" s="682"/>
    </row>
    <row r="2" spans="2:16">
      <c r="B2" s="54" t="s">
        <v>50</v>
      </c>
      <c r="C2" s="55" t="s">
        <v>3</v>
      </c>
      <c r="D2" s="158" t="s">
        <v>158</v>
      </c>
      <c r="G2" s="307" t="s">
        <v>53</v>
      </c>
      <c r="H2" s="159"/>
      <c r="L2" s="163" t="s">
        <v>338</v>
      </c>
      <c r="M2" s="315" t="s">
        <v>339</v>
      </c>
      <c r="N2" s="163" t="s">
        <v>340</v>
      </c>
      <c r="O2" s="163" t="s">
        <v>393</v>
      </c>
      <c r="P2" s="163" t="s">
        <v>341</v>
      </c>
    </row>
    <row r="3" spans="2:16">
      <c r="B3" s="54" t="s">
        <v>11</v>
      </c>
      <c r="C3" s="55" t="s">
        <v>3</v>
      </c>
      <c r="D3" s="25" t="s">
        <v>882</v>
      </c>
      <c r="G3" s="307" t="s">
        <v>61</v>
      </c>
      <c r="H3" s="568" t="s">
        <v>881</v>
      </c>
      <c r="L3" s="309">
        <f>F15</f>
        <v>500000</v>
      </c>
      <c r="M3" s="313">
        <f>F16</f>
        <v>50000</v>
      </c>
      <c r="N3" s="309"/>
      <c r="O3" s="309"/>
      <c r="P3" s="309"/>
    </row>
    <row r="4" spans="2:16">
      <c r="D4" s="55" t="s">
        <v>411</v>
      </c>
      <c r="G4" s="307" t="s">
        <v>379</v>
      </c>
      <c r="H4" s="372">
        <f>B15</f>
        <v>43239</v>
      </c>
      <c r="L4" s="309"/>
      <c r="M4" s="313">
        <v>50000</v>
      </c>
      <c r="N4" s="309"/>
      <c r="O4" s="309"/>
    </row>
    <row r="5" spans="2:16">
      <c r="G5" s="307"/>
      <c r="M5" s="313">
        <v>50000</v>
      </c>
    </row>
    <row r="6" spans="2:16">
      <c r="C6" s="683" t="s">
        <v>472</v>
      </c>
      <c r="D6" s="683"/>
      <c r="E6" s="683"/>
      <c r="G6" s="307" t="s">
        <v>381</v>
      </c>
      <c r="H6" s="372"/>
      <c r="M6" s="313">
        <v>50000</v>
      </c>
    </row>
    <row r="7" spans="2:16">
      <c r="G7" s="24" t="s">
        <v>950</v>
      </c>
      <c r="M7" s="313">
        <v>50000</v>
      </c>
    </row>
    <row r="8" spans="2:16">
      <c r="G8" s="307"/>
      <c r="M8" s="313">
        <v>150000</v>
      </c>
    </row>
    <row r="9" spans="2:16">
      <c r="M9" s="313">
        <v>100000</v>
      </c>
    </row>
    <row r="10" spans="2:16">
      <c r="M10" s="313">
        <v>100000</v>
      </c>
    </row>
    <row r="11" spans="2:16">
      <c r="G11" s="307" t="s">
        <v>56</v>
      </c>
      <c r="M11" s="313">
        <v>50000</v>
      </c>
    </row>
    <row r="12" spans="2:16">
      <c r="M12" s="313">
        <v>50000</v>
      </c>
    </row>
    <row r="13" spans="2:16">
      <c r="M13" s="313">
        <v>50000</v>
      </c>
    </row>
    <row r="14" spans="2:16">
      <c r="B14" s="54" t="s">
        <v>57</v>
      </c>
      <c r="D14" s="55" t="s">
        <v>58</v>
      </c>
      <c r="F14" s="310" t="s">
        <v>87</v>
      </c>
      <c r="G14" s="310" t="s">
        <v>88</v>
      </c>
      <c r="H14" s="310" t="s">
        <v>89</v>
      </c>
      <c r="M14" s="313">
        <v>50000</v>
      </c>
    </row>
    <row r="15" spans="2:16" ht="15" customHeight="1">
      <c r="B15" s="54">
        <v>43239</v>
      </c>
      <c r="D15" s="55" t="s">
        <v>465</v>
      </c>
      <c r="F15" s="66">
        <v>500000</v>
      </c>
      <c r="H15" s="66">
        <f>F15-G15</f>
        <v>500000</v>
      </c>
      <c r="M15" s="313">
        <v>50000</v>
      </c>
    </row>
    <row r="16" spans="2:16" ht="15" customHeight="1">
      <c r="B16" s="54">
        <v>43239</v>
      </c>
      <c r="D16" s="55" t="s">
        <v>993</v>
      </c>
      <c r="F16" s="66">
        <v>50000</v>
      </c>
      <c r="H16" s="66">
        <f>H15+F16-G16</f>
        <v>550000</v>
      </c>
      <c r="M16" s="313">
        <v>150000</v>
      </c>
    </row>
    <row r="17" spans="2:13" ht="15" customHeight="1">
      <c r="B17" s="54">
        <v>43260</v>
      </c>
      <c r="D17" s="55" t="s">
        <v>993</v>
      </c>
      <c r="F17" s="66">
        <v>50000</v>
      </c>
      <c r="H17" s="66">
        <f t="shared" ref="H17:H35" si="0">H16+F17-G17</f>
        <v>600000</v>
      </c>
      <c r="M17" s="313">
        <v>100000</v>
      </c>
    </row>
    <row r="18" spans="2:13" ht="15" customHeight="1">
      <c r="B18" s="54">
        <v>43290</v>
      </c>
      <c r="D18" s="55" t="s">
        <v>993</v>
      </c>
      <c r="F18" s="66">
        <v>50000</v>
      </c>
      <c r="H18" s="66">
        <f t="shared" si="0"/>
        <v>650000</v>
      </c>
      <c r="M18" s="313">
        <v>100000</v>
      </c>
    </row>
    <row r="19" spans="2:13" ht="15" customHeight="1">
      <c r="B19" s="54">
        <v>43333</v>
      </c>
      <c r="D19" s="55" t="s">
        <v>993</v>
      </c>
      <c r="F19" s="66">
        <v>50000</v>
      </c>
      <c r="H19" s="66">
        <f t="shared" si="0"/>
        <v>700000</v>
      </c>
      <c r="M19" s="313">
        <v>50000</v>
      </c>
    </row>
    <row r="20" spans="2:13" ht="15" customHeight="1">
      <c r="B20" s="54">
        <v>43370</v>
      </c>
      <c r="D20" s="55" t="s">
        <v>993</v>
      </c>
      <c r="F20" s="66">
        <v>50000</v>
      </c>
      <c r="H20" s="66">
        <f t="shared" si="0"/>
        <v>750000</v>
      </c>
      <c r="M20" s="313">
        <v>50000</v>
      </c>
    </row>
    <row r="21" spans="2:13" ht="15" customHeight="1">
      <c r="B21" s="505">
        <v>43503</v>
      </c>
      <c r="D21" s="55" t="s">
        <v>993</v>
      </c>
      <c r="F21" s="66">
        <v>150000</v>
      </c>
      <c r="H21" s="66">
        <f t="shared" si="0"/>
        <v>900000</v>
      </c>
      <c r="M21" s="313">
        <v>50000</v>
      </c>
    </row>
    <row r="22" spans="2:13" ht="15" customHeight="1">
      <c r="B22" s="54">
        <v>43597</v>
      </c>
      <c r="D22" s="55" t="s">
        <v>993</v>
      </c>
      <c r="F22" s="66">
        <v>100000</v>
      </c>
      <c r="H22" s="66">
        <f t="shared" si="0"/>
        <v>1000000</v>
      </c>
      <c r="M22" s="313">
        <v>50000</v>
      </c>
    </row>
    <row r="23" spans="2:13" ht="15" customHeight="1">
      <c r="B23" s="505">
        <v>43617</v>
      </c>
      <c r="D23" s="55" t="s">
        <v>993</v>
      </c>
      <c r="F23" s="66">
        <v>100000</v>
      </c>
      <c r="H23" s="66">
        <f t="shared" si="0"/>
        <v>1100000</v>
      </c>
    </row>
    <row r="24" spans="2:13" ht="15" customHeight="1">
      <c r="B24" s="505">
        <v>43689</v>
      </c>
      <c r="D24" s="55" t="s">
        <v>993</v>
      </c>
      <c r="F24" s="66">
        <v>50000</v>
      </c>
      <c r="H24" s="66">
        <f t="shared" si="0"/>
        <v>1150000</v>
      </c>
    </row>
    <row r="25" spans="2:13" ht="15" customHeight="1">
      <c r="B25" s="505">
        <v>43727</v>
      </c>
      <c r="D25" s="55" t="s">
        <v>993</v>
      </c>
      <c r="F25" s="66">
        <v>50000</v>
      </c>
      <c r="H25" s="66">
        <f t="shared" si="0"/>
        <v>1200000</v>
      </c>
    </row>
    <row r="26" spans="2:13" ht="15" customHeight="1">
      <c r="B26" s="505">
        <v>43756</v>
      </c>
      <c r="D26" s="55" t="s">
        <v>993</v>
      </c>
      <c r="F26" s="66">
        <v>50000</v>
      </c>
      <c r="H26" s="66">
        <f t="shared" si="0"/>
        <v>1250000</v>
      </c>
    </row>
    <row r="27" spans="2:13" ht="15" customHeight="1">
      <c r="B27" s="505">
        <v>43779</v>
      </c>
      <c r="D27" s="55" t="s">
        <v>993</v>
      </c>
      <c r="F27" s="66">
        <v>50000</v>
      </c>
      <c r="H27" s="66">
        <f t="shared" si="0"/>
        <v>1300000</v>
      </c>
    </row>
    <row r="28" spans="2:13" ht="15" customHeight="1">
      <c r="B28" s="505">
        <v>43809</v>
      </c>
      <c r="D28" s="55" t="s">
        <v>993</v>
      </c>
      <c r="F28" s="66">
        <v>50000</v>
      </c>
      <c r="H28" s="66">
        <f t="shared" si="0"/>
        <v>1350000</v>
      </c>
    </row>
    <row r="29" spans="2:13" ht="15" customHeight="1">
      <c r="B29" s="505">
        <v>43830</v>
      </c>
      <c r="D29" s="55" t="s">
        <v>993</v>
      </c>
      <c r="F29" s="66">
        <v>150000</v>
      </c>
      <c r="H29" s="66">
        <f t="shared" si="0"/>
        <v>1500000</v>
      </c>
    </row>
    <row r="30" spans="2:13">
      <c r="B30" s="505">
        <v>43892</v>
      </c>
      <c r="D30" s="55" t="s">
        <v>993</v>
      </c>
      <c r="F30" s="66">
        <v>100000</v>
      </c>
      <c r="G30" s="55"/>
      <c r="H30" s="66">
        <f t="shared" si="0"/>
        <v>1600000</v>
      </c>
    </row>
    <row r="31" spans="2:13">
      <c r="B31" s="505">
        <v>43928</v>
      </c>
      <c r="D31" s="55" t="s">
        <v>993</v>
      </c>
      <c r="F31" s="66">
        <v>100000</v>
      </c>
      <c r="G31" s="55"/>
      <c r="H31" s="66">
        <f t="shared" si="0"/>
        <v>1700000</v>
      </c>
    </row>
    <row r="32" spans="2:13">
      <c r="B32" s="505">
        <v>43953</v>
      </c>
      <c r="D32" s="55" t="s">
        <v>993</v>
      </c>
      <c r="F32" s="66">
        <v>50000</v>
      </c>
      <c r="G32" s="55"/>
      <c r="H32" s="66">
        <f t="shared" si="0"/>
        <v>1750000</v>
      </c>
    </row>
    <row r="33" spans="2:16">
      <c r="B33" s="505">
        <v>44007</v>
      </c>
      <c r="D33" s="55" t="s">
        <v>993</v>
      </c>
      <c r="F33" s="66">
        <v>50000</v>
      </c>
      <c r="G33" s="55"/>
      <c r="H33" s="66">
        <f t="shared" si="0"/>
        <v>1800000</v>
      </c>
    </row>
    <row r="34" spans="2:16">
      <c r="B34" s="505">
        <v>44087</v>
      </c>
      <c r="D34" s="55" t="s">
        <v>993</v>
      </c>
      <c r="F34" s="66">
        <v>50000</v>
      </c>
      <c r="G34" s="55"/>
      <c r="H34" s="66">
        <f t="shared" si="0"/>
        <v>1850000</v>
      </c>
    </row>
    <row r="35" spans="2:16">
      <c r="B35" s="505">
        <v>44114</v>
      </c>
      <c r="D35" s="55" t="s">
        <v>993</v>
      </c>
      <c r="F35" s="66">
        <v>50000</v>
      </c>
      <c r="G35" s="55"/>
      <c r="H35" s="66">
        <f t="shared" si="0"/>
        <v>1900000</v>
      </c>
    </row>
    <row r="36" spans="2:16">
      <c r="B36" s="55"/>
      <c r="F36" s="55"/>
      <c r="G36" s="55"/>
      <c r="H36" s="55"/>
    </row>
    <row r="37" spans="2:16">
      <c r="B37" s="55"/>
      <c r="F37" s="55"/>
      <c r="G37" s="55"/>
      <c r="H37" s="55"/>
    </row>
    <row r="38" spans="2:16">
      <c r="B38" s="55"/>
      <c r="F38" s="55"/>
      <c r="G38" s="55"/>
      <c r="H38" s="55"/>
    </row>
    <row r="39" spans="2:16">
      <c r="B39" s="55"/>
      <c r="F39" s="55"/>
      <c r="G39" s="55"/>
      <c r="H39" s="55"/>
    </row>
    <row r="40" spans="2:16">
      <c r="B40" s="55"/>
      <c r="F40" s="55"/>
      <c r="G40" s="55"/>
      <c r="H40" s="55"/>
    </row>
    <row r="41" spans="2:16">
      <c r="B41" s="55"/>
      <c r="F41" s="55"/>
      <c r="G41" s="55"/>
      <c r="H41" s="55"/>
    </row>
    <row r="42" spans="2:16">
      <c r="B42" s="55"/>
      <c r="F42" s="55"/>
      <c r="G42" s="55"/>
      <c r="H42" s="55"/>
    </row>
    <row r="47" spans="2:16">
      <c r="B47" s="55"/>
      <c r="D47" s="76" t="s">
        <v>307</v>
      </c>
      <c r="E47" s="316"/>
      <c r="F47" s="66">
        <f>SUM(F15:F46)</f>
        <v>1900000</v>
      </c>
      <c r="G47" s="66">
        <f>SUM(G15:G46)</f>
        <v>0</v>
      </c>
      <c r="H47" s="317">
        <f>F47-G47</f>
        <v>1900000</v>
      </c>
      <c r="L47" s="309">
        <f>SUM(L3:L4)</f>
        <v>500000</v>
      </c>
      <c r="M47" s="313">
        <f>SUM(M3:M46)</f>
        <v>1400000</v>
      </c>
      <c r="N47" s="309">
        <f>SUM(N3:N46)</f>
        <v>0</v>
      </c>
      <c r="O47" s="309">
        <f t="shared" ref="O47:P47" si="1">SUM(O3:O46)</f>
        <v>0</v>
      </c>
      <c r="P47" s="309">
        <f t="shared" si="1"/>
        <v>0</v>
      </c>
    </row>
    <row r="48" spans="2:16">
      <c r="P48" s="309">
        <f>SUM(L47:P47)</f>
        <v>1900000</v>
      </c>
    </row>
  </sheetData>
  <mergeCells count="2">
    <mergeCell ref="L1:P1"/>
    <mergeCell ref="C6:E6"/>
  </mergeCells>
  <pageMargins left="0.31496062992125984" right="0.70866141732283472" top="0.35433070866141736" bottom="0.35433070866141736" header="0.31496062992125984" footer="0.31496062992125984"/>
  <pageSetup paperSize="9" scale="90" orientation="landscape" horizontalDpi="4294967293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>
  <sheetPr>
    <tabColor rgb="FFFFC000"/>
  </sheetPr>
  <dimension ref="B1:P50"/>
  <sheetViews>
    <sheetView zoomScale="80" zoomScaleNormal="80" workbookViewId="0">
      <selection activeCell="L4" sqref="L4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19.425781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608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168</v>
      </c>
      <c r="G2" s="18" t="s">
        <v>53</v>
      </c>
      <c r="H2" s="159"/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609</v>
      </c>
      <c r="G3" s="18" t="s">
        <v>61</v>
      </c>
      <c r="H3" s="292" t="s">
        <v>611</v>
      </c>
      <c r="L3" s="92">
        <v>135000</v>
      </c>
      <c r="M3" s="92">
        <v>25000</v>
      </c>
      <c r="N3" s="92"/>
      <c r="O3" s="92">
        <v>0</v>
      </c>
      <c r="P3" s="92"/>
    </row>
    <row r="4" spans="2:16">
      <c r="D4" s="55" t="s">
        <v>610</v>
      </c>
      <c r="G4" s="89" t="s">
        <v>379</v>
      </c>
      <c r="H4" s="141">
        <v>42043</v>
      </c>
      <c r="L4" s="92"/>
      <c r="M4" s="92">
        <v>50000</v>
      </c>
      <c r="N4" s="92"/>
      <c r="O4" s="92"/>
    </row>
    <row r="5" spans="2:16">
      <c r="G5" s="18"/>
      <c r="M5" s="92">
        <v>20000</v>
      </c>
    </row>
    <row r="6" spans="2:16">
      <c r="C6" s="686" t="s">
        <v>454</v>
      </c>
      <c r="D6" s="686"/>
      <c r="E6" s="686"/>
      <c r="G6" s="89" t="s">
        <v>381</v>
      </c>
      <c r="H6" s="142">
        <f>H4</f>
        <v>42043</v>
      </c>
      <c r="M6" s="92">
        <v>40000</v>
      </c>
    </row>
    <row r="7" spans="2:16">
      <c r="G7" s="24" t="s">
        <v>55</v>
      </c>
      <c r="M7" s="156">
        <v>-135000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42043</v>
      </c>
      <c r="D15" s="55" t="s">
        <v>612</v>
      </c>
      <c r="F15" s="21">
        <v>25000</v>
      </c>
      <c r="H15" s="21">
        <f>F15-G15</f>
        <v>25000</v>
      </c>
    </row>
    <row r="16" spans="2:16" ht="15" customHeight="1">
      <c r="B16" s="19">
        <v>42156</v>
      </c>
      <c r="D16" s="55" t="s">
        <v>634</v>
      </c>
      <c r="F16" s="21">
        <v>50000</v>
      </c>
      <c r="H16" s="21">
        <f>H15+F16-G16</f>
        <v>75000</v>
      </c>
    </row>
    <row r="17" spans="2:16" ht="15" customHeight="1">
      <c r="B17" s="19">
        <v>42266</v>
      </c>
      <c r="D17" s="55" t="s">
        <v>438</v>
      </c>
      <c r="F17" s="21">
        <v>20000</v>
      </c>
      <c r="H17" s="21">
        <f>H16+F17-G17</f>
        <v>95000</v>
      </c>
    </row>
    <row r="18" spans="2:16" ht="15" customHeight="1">
      <c r="B18" s="19">
        <v>42293</v>
      </c>
      <c r="D18" t="s">
        <v>660</v>
      </c>
      <c r="F18" s="291">
        <v>40000</v>
      </c>
      <c r="H18" s="21">
        <f>H17+F18-G18</f>
        <v>135000</v>
      </c>
    </row>
    <row r="19" spans="2:16" ht="15" customHeight="1">
      <c r="B19" s="19">
        <v>42917</v>
      </c>
      <c r="D19" s="55" t="s">
        <v>808</v>
      </c>
      <c r="F19" s="21">
        <v>135000</v>
      </c>
      <c r="G19" s="21">
        <v>135000</v>
      </c>
      <c r="H19" s="21">
        <f>H18+F19-G19</f>
        <v>135000</v>
      </c>
    </row>
    <row r="20" spans="2:16" ht="15" customHeight="1">
      <c r="B20"/>
    </row>
    <row r="21" spans="2:16" ht="15" customHeight="1">
      <c r="B21"/>
    </row>
    <row r="22" spans="2:16" ht="15" customHeight="1">
      <c r="B22"/>
    </row>
    <row r="23" spans="2:16" ht="15" customHeight="1">
      <c r="B23"/>
    </row>
    <row r="24" spans="2:16" ht="15" customHeight="1">
      <c r="B24"/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</row>
    <row r="29" spans="2:16" ht="15" customHeight="1">
      <c r="B29"/>
    </row>
    <row r="30" spans="2:16" ht="15" customHeight="1">
      <c r="B30"/>
      <c r="L30" s="92">
        <f>SUM(L3:L11)</f>
        <v>135000</v>
      </c>
      <c r="M30" s="92">
        <f>SUM(M3:M29)</f>
        <v>0</v>
      </c>
      <c r="N30" s="92">
        <f>SUM(N3:N11)</f>
        <v>0</v>
      </c>
      <c r="O30" s="92">
        <f>SUM(O3:O11)</f>
        <v>0</v>
      </c>
      <c r="P30" s="92">
        <f>SUM(P3:P11)</f>
        <v>0</v>
      </c>
    </row>
    <row r="31" spans="2:16" ht="15" customHeight="1">
      <c r="B31"/>
      <c r="P31" s="92">
        <f>SUM(L30:P30)</f>
        <v>135000</v>
      </c>
    </row>
    <row r="32" spans="2:16" ht="15" customHeight="1">
      <c r="B32"/>
    </row>
    <row r="33" spans="2:16">
      <c r="B33"/>
      <c r="F33"/>
      <c r="G33"/>
      <c r="H33"/>
      <c r="L33"/>
      <c r="M33"/>
      <c r="N33"/>
      <c r="O33"/>
      <c r="P33"/>
    </row>
    <row r="34" spans="2:16">
      <c r="B34"/>
      <c r="F34"/>
      <c r="G34"/>
      <c r="H34"/>
      <c r="L34"/>
      <c r="M34"/>
      <c r="N34"/>
      <c r="O34"/>
      <c r="P34"/>
    </row>
    <row r="35" spans="2:16">
      <c r="B35"/>
      <c r="F35"/>
      <c r="G35"/>
      <c r="H35"/>
      <c r="L35"/>
      <c r="M35"/>
      <c r="N35"/>
      <c r="O35"/>
      <c r="P35"/>
    </row>
    <row r="36" spans="2:16">
      <c r="B36"/>
      <c r="F36"/>
      <c r="G36"/>
      <c r="H36"/>
      <c r="L36"/>
      <c r="M36"/>
      <c r="N36"/>
      <c r="O36"/>
      <c r="P36"/>
    </row>
    <row r="37" spans="2:16">
      <c r="B37"/>
      <c r="F37"/>
      <c r="G37"/>
      <c r="H37"/>
      <c r="L37"/>
      <c r="M37"/>
      <c r="N37"/>
      <c r="O37"/>
      <c r="P37"/>
    </row>
    <row r="38" spans="2:16">
      <c r="B38"/>
      <c r="F38"/>
      <c r="G38"/>
      <c r="H38"/>
      <c r="L38"/>
      <c r="M38"/>
      <c r="N38"/>
      <c r="O38"/>
      <c r="P38"/>
    </row>
    <row r="39" spans="2:16">
      <c r="B39"/>
      <c r="F39"/>
      <c r="G39"/>
      <c r="H39"/>
      <c r="L39"/>
      <c r="M39"/>
      <c r="N39"/>
      <c r="O39"/>
      <c r="P39"/>
    </row>
    <row r="40" spans="2:16">
      <c r="B40"/>
      <c r="F40"/>
      <c r="G40"/>
      <c r="H40"/>
      <c r="L40"/>
      <c r="M40"/>
      <c r="N40"/>
      <c r="O40"/>
      <c r="P40"/>
    </row>
    <row r="41" spans="2:16">
      <c r="B41"/>
      <c r="F41"/>
      <c r="G41"/>
      <c r="H41"/>
      <c r="L41"/>
      <c r="M41"/>
      <c r="N41"/>
      <c r="O41"/>
      <c r="P41"/>
    </row>
    <row r="42" spans="2:16">
      <c r="B42"/>
      <c r="F42"/>
      <c r="G42"/>
      <c r="H42"/>
      <c r="L42"/>
      <c r="M42"/>
      <c r="N42"/>
      <c r="O42"/>
      <c r="P42"/>
    </row>
    <row r="43" spans="2:16">
      <c r="B43"/>
      <c r="F43"/>
      <c r="G43"/>
      <c r="H43"/>
      <c r="L43"/>
      <c r="M43"/>
      <c r="N43"/>
      <c r="O43"/>
      <c r="P43"/>
    </row>
    <row r="44" spans="2:16">
      <c r="B44"/>
      <c r="F44"/>
      <c r="G44"/>
      <c r="H44"/>
      <c r="L44"/>
      <c r="M44"/>
      <c r="N44"/>
      <c r="O44"/>
      <c r="P44"/>
    </row>
    <row r="45" spans="2:16">
      <c r="B45"/>
      <c r="F45"/>
      <c r="G45"/>
      <c r="H45"/>
      <c r="L45"/>
      <c r="M45"/>
      <c r="N45"/>
      <c r="O45"/>
      <c r="P45"/>
    </row>
    <row r="50" spans="4:8" customFormat="1">
      <c r="D50" s="76" t="s">
        <v>307</v>
      </c>
      <c r="E50" s="48"/>
      <c r="F50" s="53">
        <f>SUM(F15:F49)</f>
        <v>270000</v>
      </c>
      <c r="G50" s="53">
        <f>SUM(G15:G49)</f>
        <v>135000</v>
      </c>
      <c r="H50" s="77">
        <f>F50-G50</f>
        <v>135000</v>
      </c>
    </row>
  </sheetData>
  <mergeCells count="2">
    <mergeCell ref="L1:P1"/>
    <mergeCell ref="C6:E6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sheetPr>
    <tabColor rgb="FFFF0000"/>
  </sheetPr>
  <dimension ref="B1:P50"/>
  <sheetViews>
    <sheetView workbookViewId="0">
      <selection activeCell="M5" sqref="M5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3" width="14.140625" style="30" customWidth="1"/>
    <col min="14" max="14" width="14.140625" style="156" customWidth="1"/>
    <col min="15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904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169</v>
      </c>
      <c r="G2" s="18" t="s">
        <v>53</v>
      </c>
      <c r="H2" s="159"/>
      <c r="L2" s="91" t="s">
        <v>338</v>
      </c>
      <c r="M2" s="91" t="s">
        <v>339</v>
      </c>
      <c r="N2" s="155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/>
      <c r="G3" s="18" t="s">
        <v>61</v>
      </c>
      <c r="H3" s="292" t="s">
        <v>613</v>
      </c>
      <c r="L3" s="21">
        <v>500000</v>
      </c>
      <c r="M3" s="92">
        <v>100000</v>
      </c>
      <c r="O3" s="92">
        <v>0</v>
      </c>
      <c r="P3" s="92"/>
    </row>
    <row r="4" spans="2:16">
      <c r="D4" s="55"/>
      <c r="G4" s="89" t="s">
        <v>379</v>
      </c>
      <c r="H4" s="141">
        <v>42044</v>
      </c>
      <c r="L4" s="92"/>
      <c r="M4" s="92">
        <v>400000</v>
      </c>
      <c r="O4" s="92"/>
    </row>
    <row r="5" spans="2:16">
      <c r="G5" s="18"/>
      <c r="M5" s="92"/>
    </row>
    <row r="6" spans="2:16">
      <c r="C6" s="686" t="s">
        <v>472</v>
      </c>
      <c r="D6" s="686"/>
      <c r="E6" s="686"/>
      <c r="G6" s="89" t="s">
        <v>381</v>
      </c>
      <c r="H6" s="142">
        <f>H4</f>
        <v>42044</v>
      </c>
      <c r="N6" s="92"/>
    </row>
    <row r="7" spans="2:16">
      <c r="G7" s="24" t="s">
        <v>55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319">
        <v>43273</v>
      </c>
      <c r="D15" s="55" t="s">
        <v>614</v>
      </c>
      <c r="F15" s="21">
        <v>500000</v>
      </c>
      <c r="H15" s="21">
        <f>F15-G15</f>
        <v>500000</v>
      </c>
    </row>
    <row r="16" spans="2:16" ht="15" customHeight="1">
      <c r="B16" s="19">
        <v>43342</v>
      </c>
      <c r="D16" s="55" t="s">
        <v>286</v>
      </c>
      <c r="F16" s="21">
        <v>100000</v>
      </c>
      <c r="H16" s="21">
        <f>H15+F16-G16</f>
        <v>600000</v>
      </c>
    </row>
    <row r="17" spans="2:16" ht="15" customHeight="1">
      <c r="B17" s="19">
        <v>43524</v>
      </c>
      <c r="D17" s="55" t="s">
        <v>994</v>
      </c>
      <c r="F17" s="21">
        <v>400000</v>
      </c>
      <c r="H17" s="21">
        <f>H16+F17-G17</f>
        <v>1000000</v>
      </c>
    </row>
    <row r="18" spans="2:16" ht="15" customHeight="1">
      <c r="D18" s="55"/>
      <c r="H18" s="21">
        <f>H17+F18-G18</f>
        <v>1000000</v>
      </c>
    </row>
    <row r="19" spans="2:16" ht="15" customHeight="1">
      <c r="D19" s="55"/>
      <c r="H19" s="21">
        <f t="shared" ref="H19:H27" si="0">H18+F19-G19</f>
        <v>1000000</v>
      </c>
    </row>
    <row r="20" spans="2:16" ht="15" customHeight="1">
      <c r="D20" s="55"/>
      <c r="H20" s="21">
        <f t="shared" si="0"/>
        <v>1000000</v>
      </c>
    </row>
    <row r="21" spans="2:16" ht="15" customHeight="1">
      <c r="B21" s="319"/>
      <c r="C21" s="144"/>
      <c r="D21" s="145"/>
      <c r="F21" s="291"/>
      <c r="H21" s="21">
        <f t="shared" si="0"/>
        <v>1000000</v>
      </c>
    </row>
    <row r="22" spans="2:16" ht="15" customHeight="1">
      <c r="B22" s="319"/>
      <c r="C22" s="144"/>
      <c r="D22" s="145"/>
      <c r="F22" s="291"/>
      <c r="H22" s="21">
        <f t="shared" si="0"/>
        <v>1000000</v>
      </c>
    </row>
    <row r="23" spans="2:16" ht="15" customHeight="1">
      <c r="B23" s="319"/>
      <c r="D23" s="145"/>
      <c r="H23" s="21">
        <f t="shared" si="0"/>
        <v>1000000</v>
      </c>
    </row>
    <row r="24" spans="2:16" ht="15" customHeight="1">
      <c r="B24" s="319"/>
      <c r="D24" s="145"/>
      <c r="H24" s="21">
        <f t="shared" si="0"/>
        <v>1000000</v>
      </c>
    </row>
    <row r="25" spans="2:16" ht="15" customHeight="1">
      <c r="B25" s="319"/>
      <c r="D25" s="145"/>
      <c r="H25" s="21">
        <f t="shared" si="0"/>
        <v>1000000</v>
      </c>
    </row>
    <row r="26" spans="2:16" ht="15" customHeight="1">
      <c r="B26" s="319"/>
      <c r="H26" s="21">
        <f t="shared" si="0"/>
        <v>1000000</v>
      </c>
    </row>
    <row r="27" spans="2:16" ht="15" customHeight="1">
      <c r="B27" s="319"/>
      <c r="H27" s="21">
        <f t="shared" si="0"/>
        <v>1000000</v>
      </c>
    </row>
    <row r="28" spans="2:16" ht="15" customHeight="1">
      <c r="B28" s="302"/>
    </row>
    <row r="29" spans="2:16" ht="15" customHeight="1">
      <c r="B29"/>
    </row>
    <row r="30" spans="2:16" ht="15" customHeight="1">
      <c r="B30"/>
      <c r="L30" s="92">
        <f>SUM(L3:L11)</f>
        <v>500000</v>
      </c>
      <c r="M30" s="92">
        <f>SUM(M3:M11)</f>
        <v>500000</v>
      </c>
      <c r="N30" s="156">
        <f>SUM(N3:N11)</f>
        <v>0</v>
      </c>
      <c r="O30" s="92">
        <f>SUM(O3:O11)</f>
        <v>0</v>
      </c>
      <c r="P30" s="92">
        <f>SUM(P3:P11)</f>
        <v>0</v>
      </c>
    </row>
    <row r="31" spans="2:16" ht="15" customHeight="1">
      <c r="B31"/>
      <c r="P31" s="92">
        <f>SUM(L30:P30)</f>
        <v>1000000</v>
      </c>
    </row>
    <row r="32" spans="2:16" ht="15" customHeight="1">
      <c r="B32"/>
    </row>
    <row r="33" spans="2:16">
      <c r="B33"/>
      <c r="F33"/>
      <c r="G33"/>
      <c r="H33"/>
      <c r="L33"/>
      <c r="M33"/>
      <c r="N33" s="291"/>
      <c r="O33"/>
      <c r="P33"/>
    </row>
    <row r="34" spans="2:16">
      <c r="B34"/>
      <c r="F34"/>
      <c r="G34"/>
      <c r="H34"/>
      <c r="L34"/>
      <c r="M34"/>
      <c r="N34" s="291"/>
      <c r="O34"/>
      <c r="P34"/>
    </row>
    <row r="35" spans="2:16">
      <c r="B35"/>
      <c r="F35"/>
      <c r="G35"/>
      <c r="H35"/>
      <c r="L35"/>
      <c r="M35"/>
      <c r="N35" s="291"/>
      <c r="O35"/>
      <c r="P35"/>
    </row>
    <row r="36" spans="2:16">
      <c r="B36"/>
      <c r="F36"/>
      <c r="G36"/>
      <c r="H36"/>
      <c r="L36"/>
      <c r="M36"/>
      <c r="N36" s="291"/>
      <c r="O36"/>
      <c r="P36"/>
    </row>
    <row r="37" spans="2:16">
      <c r="B37"/>
      <c r="F37"/>
      <c r="G37"/>
      <c r="H37"/>
      <c r="L37"/>
      <c r="M37"/>
      <c r="N37" s="291"/>
      <c r="O37"/>
      <c r="P37"/>
    </row>
    <row r="38" spans="2:16">
      <c r="B38"/>
      <c r="F38"/>
      <c r="G38"/>
      <c r="H38"/>
      <c r="L38"/>
      <c r="M38"/>
      <c r="N38" s="291"/>
      <c r="O38"/>
      <c r="P38"/>
    </row>
    <row r="39" spans="2:16">
      <c r="B39"/>
      <c r="F39"/>
      <c r="G39"/>
      <c r="H39"/>
      <c r="L39"/>
      <c r="M39"/>
      <c r="N39" s="291"/>
      <c r="O39"/>
      <c r="P39"/>
    </row>
    <row r="40" spans="2:16">
      <c r="B40"/>
      <c r="F40"/>
      <c r="G40"/>
      <c r="H40"/>
      <c r="L40"/>
      <c r="M40"/>
      <c r="N40" s="291"/>
      <c r="O40"/>
      <c r="P40"/>
    </row>
    <row r="41" spans="2:16">
      <c r="B41"/>
      <c r="F41"/>
      <c r="G41"/>
      <c r="H41"/>
      <c r="L41"/>
      <c r="M41"/>
      <c r="N41" s="291"/>
      <c r="O41"/>
      <c r="P41"/>
    </row>
    <row r="42" spans="2:16">
      <c r="B42"/>
      <c r="F42"/>
      <c r="G42"/>
      <c r="H42"/>
      <c r="L42"/>
      <c r="M42"/>
      <c r="N42" s="291"/>
      <c r="O42"/>
      <c r="P42"/>
    </row>
    <row r="43" spans="2:16">
      <c r="B43"/>
      <c r="F43"/>
      <c r="G43"/>
      <c r="H43"/>
      <c r="L43"/>
      <c r="M43"/>
      <c r="N43" s="291"/>
      <c r="O43"/>
      <c r="P43"/>
    </row>
    <row r="44" spans="2:16">
      <c r="B44"/>
      <c r="F44"/>
      <c r="G44"/>
      <c r="H44"/>
      <c r="L44"/>
      <c r="M44"/>
      <c r="N44" s="291"/>
      <c r="O44"/>
      <c r="P44"/>
    </row>
    <row r="45" spans="2:16">
      <c r="B45"/>
      <c r="F45"/>
      <c r="G45"/>
      <c r="H45"/>
      <c r="L45"/>
      <c r="M45"/>
      <c r="N45" s="291"/>
      <c r="O45"/>
      <c r="P45"/>
    </row>
    <row r="50" spans="4:14" customFormat="1">
      <c r="D50" s="76" t="s">
        <v>307</v>
      </c>
      <c r="E50" s="48"/>
      <c r="F50" s="53">
        <f>SUM(F15:F49)</f>
        <v>1000000</v>
      </c>
      <c r="G50" s="53">
        <f>SUM(G15:G49)</f>
        <v>0</v>
      </c>
      <c r="H50" s="77">
        <f>F50-G50</f>
        <v>1000000</v>
      </c>
      <c r="N50" s="291"/>
    </row>
  </sheetData>
  <mergeCells count="2">
    <mergeCell ref="L1:P1"/>
    <mergeCell ref="C6:E6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1:P48"/>
  <sheetViews>
    <sheetView zoomScale="80" zoomScaleNormal="80" workbookViewId="0">
      <selection sqref="A1:XFD1048576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645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179</v>
      </c>
      <c r="G2" s="18" t="s">
        <v>53</v>
      </c>
      <c r="H2" s="159"/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646</v>
      </c>
      <c r="G3" s="18" t="s">
        <v>61</v>
      </c>
      <c r="H3" s="292"/>
      <c r="L3" s="21">
        <v>0</v>
      </c>
      <c r="M3" s="92">
        <v>25000</v>
      </c>
      <c r="N3" s="92">
        <v>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42196</v>
      </c>
      <c r="L4" s="92"/>
      <c r="M4" s="92">
        <v>25000</v>
      </c>
      <c r="N4" s="92"/>
      <c r="O4" s="92"/>
    </row>
    <row r="5" spans="2:16">
      <c r="G5" s="18"/>
      <c r="M5" s="92"/>
    </row>
    <row r="6" spans="2:16">
      <c r="C6" s="686" t="s">
        <v>638</v>
      </c>
      <c r="D6" s="686"/>
      <c r="E6" s="686"/>
      <c r="G6" s="89" t="s">
        <v>381</v>
      </c>
      <c r="H6" s="142">
        <f>H4</f>
        <v>42196</v>
      </c>
      <c r="M6" s="92"/>
    </row>
    <row r="7" spans="2:16">
      <c r="G7" s="24" t="s">
        <v>55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42196</v>
      </c>
      <c r="D15" s="55" t="s">
        <v>286</v>
      </c>
      <c r="F15" s="21">
        <v>25000</v>
      </c>
      <c r="H15" s="21">
        <f>F15-G15</f>
        <v>25000</v>
      </c>
    </row>
    <row r="16" spans="2:16" ht="15" customHeight="1">
      <c r="B16" s="19">
        <v>42335</v>
      </c>
      <c r="D16" s="55" t="s">
        <v>286</v>
      </c>
      <c r="F16" s="21">
        <v>25000</v>
      </c>
      <c r="H16" s="21">
        <f>H15+F16-G16</f>
        <v>50000</v>
      </c>
    </row>
    <row r="17" spans="2:16" ht="15" customHeight="1">
      <c r="D17" s="55"/>
    </row>
    <row r="18" spans="2:16" ht="15" customHeight="1">
      <c r="B18"/>
    </row>
    <row r="19" spans="2:16" ht="15" customHeight="1">
      <c r="B19"/>
    </row>
    <row r="20" spans="2:16" ht="15" customHeight="1">
      <c r="B20"/>
    </row>
    <row r="21" spans="2:16" ht="15" customHeight="1">
      <c r="B21"/>
    </row>
    <row r="22" spans="2:16" ht="15" customHeight="1">
      <c r="B22"/>
    </row>
    <row r="23" spans="2:16" ht="15" customHeight="1">
      <c r="B23"/>
    </row>
    <row r="24" spans="2:16" ht="15" customHeight="1">
      <c r="B24"/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  <c r="L28" s="92">
        <f>SUM(L3:L11)</f>
        <v>0</v>
      </c>
      <c r="M28" s="92">
        <f>SUM(M3:M11)</f>
        <v>50000</v>
      </c>
      <c r="N28" s="92">
        <f>SUM(N3:N11)</f>
        <v>0</v>
      </c>
      <c r="O28" s="92">
        <f>SUM(O3:O11)</f>
        <v>0</v>
      </c>
      <c r="P28" s="92">
        <f>SUM(P3:P11)</f>
        <v>0</v>
      </c>
    </row>
    <row r="29" spans="2:16" ht="15" customHeight="1">
      <c r="B29"/>
      <c r="P29" s="92">
        <f>SUM(L28:P28)</f>
        <v>50000</v>
      </c>
    </row>
    <row r="30" spans="2:16" ht="15" customHeight="1">
      <c r="B30"/>
    </row>
    <row r="31" spans="2:16">
      <c r="B31"/>
      <c r="F31"/>
      <c r="G31"/>
      <c r="H31"/>
      <c r="L31"/>
      <c r="M31"/>
      <c r="N31"/>
      <c r="O31"/>
      <c r="P31"/>
    </row>
    <row r="32" spans="2:16">
      <c r="B32"/>
      <c r="F32"/>
      <c r="G32"/>
      <c r="H32"/>
      <c r="L32"/>
      <c r="M32"/>
      <c r="N32"/>
      <c r="O32"/>
      <c r="P32"/>
    </row>
    <row r="33" spans="2:16">
      <c r="B33"/>
      <c r="F33"/>
      <c r="G33"/>
      <c r="H33"/>
      <c r="L33"/>
      <c r="M33"/>
      <c r="N33"/>
      <c r="O33"/>
      <c r="P33"/>
    </row>
    <row r="34" spans="2:16">
      <c r="B34"/>
      <c r="F34"/>
      <c r="G34"/>
      <c r="H34"/>
      <c r="L34"/>
      <c r="M34"/>
      <c r="N34"/>
      <c r="O34"/>
      <c r="P34"/>
    </row>
    <row r="35" spans="2:16">
      <c r="B35"/>
      <c r="F35"/>
      <c r="G35"/>
      <c r="H35"/>
      <c r="L35"/>
      <c r="M35"/>
      <c r="N35"/>
      <c r="O35"/>
      <c r="P35"/>
    </row>
    <row r="36" spans="2:16">
      <c r="B36"/>
      <c r="F36"/>
      <c r="G36"/>
      <c r="H36"/>
      <c r="L36"/>
      <c r="M36"/>
      <c r="N36"/>
      <c r="O36"/>
      <c r="P36"/>
    </row>
    <row r="37" spans="2:16">
      <c r="B37"/>
      <c r="F37"/>
      <c r="G37"/>
      <c r="H37"/>
      <c r="L37"/>
      <c r="M37"/>
      <c r="N37"/>
      <c r="O37"/>
      <c r="P37"/>
    </row>
    <row r="38" spans="2:16">
      <c r="B38"/>
      <c r="F38"/>
      <c r="G38"/>
      <c r="H38"/>
      <c r="L38"/>
      <c r="M38"/>
      <c r="N38"/>
      <c r="O38"/>
      <c r="P38"/>
    </row>
    <row r="39" spans="2:16">
      <c r="B39"/>
      <c r="F39"/>
      <c r="G39"/>
      <c r="H39"/>
      <c r="L39"/>
      <c r="M39"/>
      <c r="N39"/>
      <c r="O39"/>
      <c r="P39"/>
    </row>
    <row r="40" spans="2:16">
      <c r="B40"/>
      <c r="F40"/>
      <c r="G40"/>
      <c r="H40"/>
      <c r="L40"/>
      <c r="M40"/>
      <c r="N40"/>
      <c r="O40"/>
      <c r="P40"/>
    </row>
    <row r="41" spans="2:16">
      <c r="B41"/>
      <c r="F41"/>
      <c r="G41"/>
      <c r="H41"/>
      <c r="L41"/>
      <c r="M41"/>
      <c r="N41"/>
      <c r="O41"/>
      <c r="P41"/>
    </row>
    <row r="42" spans="2:16">
      <c r="B42"/>
      <c r="F42"/>
      <c r="G42"/>
      <c r="H42"/>
      <c r="L42"/>
      <c r="M42"/>
      <c r="N42"/>
      <c r="O42"/>
      <c r="P42"/>
    </row>
    <row r="43" spans="2:16">
      <c r="B43"/>
      <c r="F43"/>
      <c r="G43"/>
      <c r="H43"/>
      <c r="L43"/>
      <c r="M43"/>
      <c r="N43"/>
      <c r="O43"/>
      <c r="P43"/>
    </row>
    <row r="48" spans="2:16">
      <c r="B48"/>
      <c r="D48" s="76" t="s">
        <v>307</v>
      </c>
      <c r="E48" s="48"/>
      <c r="F48" s="53">
        <f>SUM(F15:F47)</f>
        <v>50000</v>
      </c>
      <c r="G48" s="53">
        <f>SUM(G15:G47)</f>
        <v>0</v>
      </c>
      <c r="H48" s="77">
        <f>F48-G48</f>
        <v>50000</v>
      </c>
      <c r="L48"/>
      <c r="M48"/>
      <c r="N48"/>
      <c r="O48"/>
      <c r="P48"/>
    </row>
  </sheetData>
  <mergeCells count="2">
    <mergeCell ref="L1:P1"/>
    <mergeCell ref="C6:E6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1:P48"/>
  <sheetViews>
    <sheetView zoomScale="90" zoomScaleNormal="90" workbookViewId="0">
      <selection sqref="A1:XFD1048576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3" width="14.140625" style="332" customWidth="1"/>
    <col min="14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651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180</v>
      </c>
      <c r="G2" s="18" t="s">
        <v>53</v>
      </c>
      <c r="H2" s="159"/>
      <c r="L2" s="91" t="s">
        <v>338</v>
      </c>
      <c r="M2" s="33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411</v>
      </c>
      <c r="G3" s="18" t="s">
        <v>61</v>
      </c>
      <c r="H3" s="292"/>
      <c r="L3" s="21">
        <v>0</v>
      </c>
      <c r="M3" s="332">
        <v>25000</v>
      </c>
      <c r="N3" s="92">
        <v>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42258</v>
      </c>
      <c r="L4" s="92"/>
      <c r="M4" s="332">
        <v>50000</v>
      </c>
      <c r="N4" s="92"/>
      <c r="O4" s="92"/>
    </row>
    <row r="5" spans="2:16">
      <c r="G5" s="18"/>
    </row>
    <row r="6" spans="2:16">
      <c r="C6" s="686" t="s">
        <v>638</v>
      </c>
      <c r="D6" s="686"/>
      <c r="E6" s="686"/>
      <c r="G6" s="89" t="s">
        <v>381</v>
      </c>
      <c r="H6" s="142">
        <f>H4</f>
        <v>42258</v>
      </c>
    </row>
    <row r="7" spans="2:16">
      <c r="G7" s="24" t="s">
        <v>55</v>
      </c>
    </row>
    <row r="8" spans="2:16">
      <c r="G8" s="18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42258</v>
      </c>
      <c r="D15" s="55" t="s">
        <v>286</v>
      </c>
      <c r="F15" s="21">
        <v>25000</v>
      </c>
      <c r="H15" s="21">
        <f>F15-G15</f>
        <v>25000</v>
      </c>
    </row>
    <row r="16" spans="2:16" ht="15" customHeight="1">
      <c r="B16" s="19">
        <v>42395</v>
      </c>
      <c r="D16" s="55" t="s">
        <v>286</v>
      </c>
      <c r="F16" s="21">
        <v>50000</v>
      </c>
      <c r="H16" s="21">
        <f>H15+F16-G16</f>
        <v>75000</v>
      </c>
    </row>
    <row r="17" spans="2:16" ht="15" customHeight="1">
      <c r="D17" s="55"/>
    </row>
    <row r="18" spans="2:16" ht="15" customHeight="1">
      <c r="B18"/>
    </row>
    <row r="19" spans="2:16" ht="15" customHeight="1">
      <c r="B19"/>
    </row>
    <row r="20" spans="2:16" ht="15" customHeight="1">
      <c r="B20"/>
    </row>
    <row r="21" spans="2:16" ht="15" customHeight="1">
      <c r="B21"/>
    </row>
    <row r="22" spans="2:16" ht="15" customHeight="1">
      <c r="B22"/>
    </row>
    <row r="23" spans="2:16" ht="15" customHeight="1">
      <c r="B23"/>
    </row>
    <row r="24" spans="2:16" ht="15" customHeight="1">
      <c r="B24"/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  <c r="L28" s="92">
        <f>SUM(L3:L11)</f>
        <v>0</v>
      </c>
      <c r="M28" s="332">
        <f>SUM(M3:M11)</f>
        <v>75000</v>
      </c>
      <c r="N28" s="92">
        <f>SUM(N3:N11)</f>
        <v>0</v>
      </c>
      <c r="O28" s="92">
        <f>SUM(O3:O11)</f>
        <v>0</v>
      </c>
      <c r="P28" s="92">
        <f>SUM(P3:P11)</f>
        <v>0</v>
      </c>
    </row>
    <row r="29" spans="2:16" ht="15" customHeight="1">
      <c r="B29"/>
      <c r="P29" s="92">
        <f>SUM(L28:P28)</f>
        <v>75000</v>
      </c>
    </row>
    <row r="30" spans="2:16" ht="15" customHeight="1">
      <c r="B30"/>
    </row>
    <row r="31" spans="2:16">
      <c r="B31"/>
      <c r="F31"/>
      <c r="G31"/>
      <c r="H31"/>
      <c r="L31"/>
      <c r="M31" s="333"/>
      <c r="N31"/>
      <c r="O31"/>
      <c r="P31"/>
    </row>
    <row r="32" spans="2:16">
      <c r="B32"/>
      <c r="F32"/>
      <c r="G32"/>
      <c r="H32"/>
      <c r="L32"/>
      <c r="M32" s="333"/>
      <c r="N32"/>
      <c r="O32"/>
      <c r="P32"/>
    </row>
    <row r="33" spans="2:16">
      <c r="B33"/>
      <c r="F33"/>
      <c r="G33"/>
      <c r="H33"/>
      <c r="L33"/>
      <c r="M33" s="333"/>
      <c r="N33"/>
      <c r="O33"/>
      <c r="P33"/>
    </row>
    <row r="34" spans="2:16">
      <c r="B34"/>
      <c r="F34"/>
      <c r="G34"/>
      <c r="H34"/>
      <c r="L34"/>
      <c r="M34" s="333"/>
      <c r="N34"/>
      <c r="O34"/>
      <c r="P34"/>
    </row>
    <row r="35" spans="2:16">
      <c r="B35"/>
      <c r="F35"/>
      <c r="G35"/>
      <c r="H35"/>
      <c r="L35"/>
      <c r="M35" s="333"/>
      <c r="N35"/>
      <c r="O35"/>
      <c r="P35"/>
    </row>
    <row r="36" spans="2:16">
      <c r="B36"/>
      <c r="F36"/>
      <c r="G36"/>
      <c r="H36"/>
      <c r="L36"/>
      <c r="M36" s="333"/>
      <c r="N36"/>
      <c r="O36"/>
      <c r="P36"/>
    </row>
    <row r="37" spans="2:16">
      <c r="B37"/>
      <c r="F37"/>
      <c r="G37"/>
      <c r="H37"/>
      <c r="L37"/>
      <c r="M37" s="333"/>
      <c r="N37"/>
      <c r="O37"/>
      <c r="P37"/>
    </row>
    <row r="38" spans="2:16">
      <c r="B38"/>
      <c r="F38"/>
      <c r="G38"/>
      <c r="H38"/>
      <c r="L38"/>
      <c r="M38" s="333"/>
      <c r="N38"/>
      <c r="O38"/>
      <c r="P38"/>
    </row>
    <row r="39" spans="2:16">
      <c r="B39"/>
      <c r="F39"/>
      <c r="G39"/>
      <c r="H39"/>
      <c r="L39"/>
      <c r="M39" s="333"/>
      <c r="N39"/>
      <c r="O39"/>
      <c r="P39"/>
    </row>
    <row r="40" spans="2:16">
      <c r="B40"/>
      <c r="F40"/>
      <c r="G40"/>
      <c r="H40"/>
      <c r="L40"/>
      <c r="M40" s="333"/>
      <c r="N40"/>
      <c r="O40"/>
      <c r="P40"/>
    </row>
    <row r="41" spans="2:16">
      <c r="B41"/>
      <c r="F41"/>
      <c r="G41"/>
      <c r="H41"/>
      <c r="L41"/>
      <c r="M41" s="333"/>
      <c r="N41"/>
      <c r="O41"/>
      <c r="P41"/>
    </row>
    <row r="42" spans="2:16">
      <c r="B42"/>
      <c r="F42"/>
      <c r="G42"/>
      <c r="H42"/>
      <c r="L42"/>
      <c r="M42" s="333"/>
      <c r="N42"/>
      <c r="O42"/>
      <c r="P42"/>
    </row>
    <row r="43" spans="2:16">
      <c r="B43"/>
      <c r="F43"/>
      <c r="G43"/>
      <c r="H43"/>
      <c r="L43"/>
      <c r="M43" s="333"/>
      <c r="N43"/>
      <c r="O43"/>
      <c r="P43"/>
    </row>
    <row r="48" spans="2:16">
      <c r="B48"/>
      <c r="D48" s="76" t="s">
        <v>307</v>
      </c>
      <c r="E48" s="48"/>
      <c r="F48" s="53">
        <f>SUM(F15:F47)</f>
        <v>75000</v>
      </c>
      <c r="G48" s="53">
        <f>SUM(G15:G47)</f>
        <v>0</v>
      </c>
      <c r="H48" s="77">
        <f>F48-G48</f>
        <v>75000</v>
      </c>
      <c r="L48"/>
      <c r="M48" s="333"/>
      <c r="N48"/>
      <c r="O48"/>
      <c r="P48"/>
    </row>
  </sheetData>
  <mergeCells count="2">
    <mergeCell ref="L1:P1"/>
    <mergeCell ref="C6:E6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1:P48"/>
  <sheetViews>
    <sheetView zoomScale="80" zoomScaleNormal="80" workbookViewId="0">
      <selection sqref="A1:XFD1048576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654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181</v>
      </c>
      <c r="G2" s="18" t="s">
        <v>53</v>
      </c>
      <c r="H2" s="159"/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655</v>
      </c>
      <c r="G3" s="18" t="s">
        <v>61</v>
      </c>
      <c r="H3" s="292"/>
      <c r="L3" s="21">
        <v>0</v>
      </c>
      <c r="M3" s="92">
        <v>45000</v>
      </c>
      <c r="N3" s="92">
        <v>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42266</v>
      </c>
      <c r="L4" s="92"/>
      <c r="M4" s="92"/>
      <c r="N4" s="92"/>
      <c r="O4" s="92"/>
    </row>
    <row r="5" spans="2:16">
      <c r="G5" s="18"/>
      <c r="M5" s="92"/>
    </row>
    <row r="6" spans="2:16">
      <c r="C6" s="686" t="s">
        <v>638</v>
      </c>
      <c r="D6" s="686"/>
      <c r="E6" s="686"/>
      <c r="G6" s="89" t="s">
        <v>381</v>
      </c>
      <c r="H6" s="142">
        <f>H4</f>
        <v>42266</v>
      </c>
      <c r="M6" s="92"/>
    </row>
    <row r="7" spans="2:16">
      <c r="G7" s="24" t="s">
        <v>55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42266</v>
      </c>
      <c r="D15" s="55" t="s">
        <v>286</v>
      </c>
      <c r="F15" s="21">
        <v>45000</v>
      </c>
      <c r="H15" s="21">
        <f>F15-G15</f>
        <v>45000</v>
      </c>
    </row>
    <row r="16" spans="2:16" ht="15" customHeight="1">
      <c r="D16" s="55"/>
    </row>
    <row r="17" spans="2:16" ht="15" customHeight="1">
      <c r="D17" s="55"/>
    </row>
    <row r="18" spans="2:16" ht="15" customHeight="1">
      <c r="B18"/>
    </row>
    <row r="19" spans="2:16" ht="15" customHeight="1">
      <c r="B19"/>
    </row>
    <row r="20" spans="2:16" ht="15" customHeight="1">
      <c r="B20"/>
    </row>
    <row r="21" spans="2:16" ht="15" customHeight="1">
      <c r="B21"/>
    </row>
    <row r="22" spans="2:16" ht="15" customHeight="1">
      <c r="B22"/>
    </row>
    <row r="23" spans="2:16" ht="15" customHeight="1">
      <c r="B23"/>
    </row>
    <row r="24" spans="2:16" ht="15" customHeight="1">
      <c r="B24"/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  <c r="L28" s="92">
        <f>SUM(L3:L11)</f>
        <v>0</v>
      </c>
      <c r="M28" s="92">
        <f>SUM(M3:M11)</f>
        <v>45000</v>
      </c>
      <c r="N28" s="92">
        <f>SUM(N3:N11)</f>
        <v>0</v>
      </c>
      <c r="O28" s="92">
        <f>SUM(O3:O11)</f>
        <v>0</v>
      </c>
      <c r="P28" s="92">
        <f>SUM(P3:P11)</f>
        <v>0</v>
      </c>
    </row>
    <row r="29" spans="2:16" ht="15" customHeight="1">
      <c r="B29"/>
      <c r="P29" s="92">
        <f>SUM(L28:P28)</f>
        <v>45000</v>
      </c>
    </row>
    <row r="30" spans="2:16" ht="15" customHeight="1">
      <c r="B30"/>
    </row>
    <row r="31" spans="2:16">
      <c r="B31"/>
      <c r="F31"/>
      <c r="G31"/>
      <c r="H31"/>
      <c r="L31"/>
      <c r="M31"/>
      <c r="N31"/>
      <c r="O31"/>
      <c r="P31"/>
    </row>
    <row r="32" spans="2:16">
      <c r="B32"/>
      <c r="F32"/>
      <c r="G32"/>
      <c r="H32"/>
      <c r="L32"/>
      <c r="M32"/>
      <c r="N32"/>
      <c r="O32"/>
      <c r="P32"/>
    </row>
    <row r="33" spans="2:16">
      <c r="B33"/>
      <c r="F33"/>
      <c r="G33"/>
      <c r="H33"/>
      <c r="L33"/>
      <c r="M33"/>
      <c r="N33"/>
      <c r="O33"/>
      <c r="P33"/>
    </row>
    <row r="34" spans="2:16">
      <c r="B34"/>
      <c r="F34"/>
      <c r="G34"/>
      <c r="H34"/>
      <c r="L34"/>
      <c r="M34"/>
      <c r="N34"/>
      <c r="O34"/>
      <c r="P34"/>
    </row>
    <row r="35" spans="2:16">
      <c r="B35"/>
      <c r="F35"/>
      <c r="G35"/>
      <c r="H35"/>
      <c r="L35"/>
      <c r="M35"/>
      <c r="N35"/>
      <c r="O35"/>
      <c r="P35"/>
    </row>
    <row r="36" spans="2:16">
      <c r="B36"/>
      <c r="F36"/>
      <c r="G36"/>
      <c r="H36"/>
      <c r="L36"/>
      <c r="M36"/>
      <c r="N36"/>
      <c r="O36"/>
      <c r="P36"/>
    </row>
    <row r="37" spans="2:16">
      <c r="B37"/>
      <c r="F37"/>
      <c r="G37"/>
      <c r="H37"/>
      <c r="L37"/>
      <c r="M37"/>
      <c r="N37"/>
      <c r="O37"/>
      <c r="P37"/>
    </row>
    <row r="38" spans="2:16">
      <c r="B38"/>
      <c r="F38"/>
      <c r="G38"/>
      <c r="H38"/>
      <c r="L38"/>
      <c r="M38"/>
      <c r="N38"/>
      <c r="O38"/>
      <c r="P38"/>
    </row>
    <row r="39" spans="2:16">
      <c r="B39"/>
      <c r="F39"/>
      <c r="G39"/>
      <c r="H39"/>
      <c r="L39"/>
      <c r="M39"/>
      <c r="N39"/>
      <c r="O39"/>
      <c r="P39"/>
    </row>
    <row r="40" spans="2:16">
      <c r="B40"/>
      <c r="F40"/>
      <c r="G40"/>
      <c r="H40"/>
      <c r="L40"/>
      <c r="M40"/>
      <c r="N40"/>
      <c r="O40"/>
      <c r="P40"/>
    </row>
    <row r="41" spans="2:16">
      <c r="B41"/>
      <c r="F41"/>
      <c r="G41"/>
      <c r="H41"/>
      <c r="L41"/>
      <c r="M41"/>
      <c r="N41"/>
      <c r="O41"/>
      <c r="P41"/>
    </row>
    <row r="42" spans="2:16">
      <c r="B42"/>
      <c r="F42"/>
      <c r="G42"/>
      <c r="H42"/>
      <c r="L42"/>
      <c r="M42"/>
      <c r="N42"/>
      <c r="O42"/>
      <c r="P42"/>
    </row>
    <row r="43" spans="2:16">
      <c r="B43"/>
      <c r="F43"/>
      <c r="G43"/>
      <c r="H43"/>
      <c r="L43"/>
      <c r="M43"/>
      <c r="N43"/>
      <c r="O43"/>
      <c r="P43"/>
    </row>
    <row r="48" spans="2:16">
      <c r="B48"/>
      <c r="D48" s="76" t="s">
        <v>307</v>
      </c>
      <c r="E48" s="48"/>
      <c r="F48" s="53">
        <f>SUM(F15:F47)</f>
        <v>45000</v>
      </c>
      <c r="G48" s="53">
        <f>SUM(G15:G47)</f>
        <v>0</v>
      </c>
      <c r="H48" s="77">
        <f>F48-G48</f>
        <v>45000</v>
      </c>
      <c r="L48"/>
      <c r="M48"/>
      <c r="N48"/>
      <c r="O48"/>
      <c r="P48"/>
    </row>
  </sheetData>
  <mergeCells count="2">
    <mergeCell ref="L1:P1"/>
    <mergeCell ref="C6:E6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1:P48"/>
  <sheetViews>
    <sheetView zoomScale="80" zoomScaleNormal="80" workbookViewId="0">
      <selection sqref="A1:XFD1048576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667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184</v>
      </c>
      <c r="G2" s="18" t="s">
        <v>53</v>
      </c>
      <c r="H2" s="159"/>
      <c r="L2" s="91" t="s">
        <v>338</v>
      </c>
      <c r="M2" s="91" t="s">
        <v>339</v>
      </c>
      <c r="N2" s="91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471</v>
      </c>
      <c r="G3" s="18" t="s">
        <v>61</v>
      </c>
      <c r="H3" s="292"/>
      <c r="L3" s="21">
        <v>0</v>
      </c>
      <c r="M3" s="92">
        <v>25000</v>
      </c>
      <c r="N3" s="92">
        <v>5000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42317</v>
      </c>
      <c r="L4" s="92"/>
      <c r="M4" s="92"/>
      <c r="N4" s="92"/>
      <c r="O4" s="92"/>
    </row>
    <row r="5" spans="2:16">
      <c r="G5" s="18"/>
      <c r="M5" s="92"/>
    </row>
    <row r="6" spans="2:16">
      <c r="C6" s="686" t="s">
        <v>454</v>
      </c>
      <c r="D6" s="686"/>
      <c r="E6" s="686"/>
      <c r="G6" s="89" t="s">
        <v>381</v>
      </c>
      <c r="H6" s="142">
        <f>H4</f>
        <v>42317</v>
      </c>
      <c r="M6" s="92"/>
    </row>
    <row r="7" spans="2:16">
      <c r="G7" s="24" t="s">
        <v>55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42317</v>
      </c>
      <c r="D15" s="55" t="s">
        <v>286</v>
      </c>
      <c r="F15" s="21">
        <v>25000</v>
      </c>
      <c r="H15" s="21">
        <f>F15-G15</f>
        <v>25000</v>
      </c>
    </row>
    <row r="16" spans="2:16" ht="15" customHeight="1">
      <c r="D16" s="55" t="s">
        <v>282</v>
      </c>
      <c r="F16" s="21">
        <v>5000</v>
      </c>
      <c r="H16" s="21">
        <f>H15+F16-G16</f>
        <v>30000</v>
      </c>
    </row>
    <row r="17" spans="2:16" ht="15" customHeight="1">
      <c r="D17" s="55"/>
    </row>
    <row r="18" spans="2:16" ht="15" customHeight="1">
      <c r="B18"/>
    </row>
    <row r="19" spans="2:16" ht="15" customHeight="1">
      <c r="B19"/>
    </row>
    <row r="20" spans="2:16" ht="15" customHeight="1">
      <c r="B20"/>
    </row>
    <row r="21" spans="2:16" ht="15" customHeight="1">
      <c r="B21"/>
    </row>
    <row r="22" spans="2:16" ht="15" customHeight="1">
      <c r="B22"/>
    </row>
    <row r="23" spans="2:16" ht="15" customHeight="1">
      <c r="B23"/>
    </row>
    <row r="24" spans="2:16" ht="15" customHeight="1">
      <c r="B24"/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  <c r="L28" s="92">
        <f>SUM(L3:L11)</f>
        <v>0</v>
      </c>
      <c r="M28" s="92">
        <f>SUM(M3:M11)</f>
        <v>25000</v>
      </c>
      <c r="N28" s="92">
        <f>SUM(N3:N11)</f>
        <v>5000</v>
      </c>
      <c r="O28" s="92">
        <f>SUM(O3:O11)</f>
        <v>0</v>
      </c>
      <c r="P28" s="92">
        <f>SUM(P3:P11)</f>
        <v>0</v>
      </c>
    </row>
    <row r="29" spans="2:16" ht="15" customHeight="1">
      <c r="B29"/>
      <c r="P29" s="92">
        <f>SUM(L28:P28)</f>
        <v>30000</v>
      </c>
    </row>
    <row r="30" spans="2:16" ht="15" customHeight="1">
      <c r="B30"/>
    </row>
    <row r="31" spans="2:16">
      <c r="B31"/>
      <c r="F31"/>
      <c r="G31"/>
      <c r="H31"/>
      <c r="L31"/>
      <c r="M31"/>
      <c r="N31"/>
      <c r="O31"/>
      <c r="P31"/>
    </row>
    <row r="32" spans="2:16">
      <c r="B32"/>
      <c r="F32"/>
      <c r="G32"/>
      <c r="H32"/>
      <c r="L32"/>
      <c r="M32"/>
      <c r="N32"/>
      <c r="O32"/>
      <c r="P32"/>
    </row>
    <row r="33" spans="2:16">
      <c r="B33"/>
      <c r="F33"/>
      <c r="G33"/>
      <c r="H33"/>
      <c r="L33"/>
      <c r="M33"/>
      <c r="N33"/>
      <c r="O33"/>
      <c r="P33"/>
    </row>
    <row r="34" spans="2:16">
      <c r="B34"/>
      <c r="F34"/>
      <c r="G34"/>
      <c r="H34"/>
      <c r="L34"/>
      <c r="M34"/>
      <c r="N34"/>
      <c r="O34"/>
      <c r="P34"/>
    </row>
    <row r="35" spans="2:16">
      <c r="B35"/>
      <c r="F35"/>
      <c r="G35"/>
      <c r="H35"/>
      <c r="L35"/>
      <c r="M35"/>
      <c r="N35"/>
      <c r="O35"/>
      <c r="P35"/>
    </row>
    <row r="36" spans="2:16">
      <c r="B36"/>
      <c r="F36"/>
      <c r="G36"/>
      <c r="H36"/>
      <c r="L36"/>
      <c r="M36"/>
      <c r="N36"/>
      <c r="O36"/>
      <c r="P36"/>
    </row>
    <row r="37" spans="2:16">
      <c r="B37"/>
      <c r="F37"/>
      <c r="G37"/>
      <c r="H37"/>
      <c r="L37"/>
      <c r="M37"/>
      <c r="N37"/>
      <c r="O37"/>
      <c r="P37"/>
    </row>
    <row r="38" spans="2:16">
      <c r="B38"/>
      <c r="F38"/>
      <c r="G38"/>
      <c r="H38"/>
      <c r="L38"/>
      <c r="M38"/>
      <c r="N38"/>
      <c r="O38"/>
      <c r="P38"/>
    </row>
    <row r="39" spans="2:16">
      <c r="B39"/>
      <c r="F39"/>
      <c r="G39"/>
      <c r="H39"/>
      <c r="L39"/>
      <c r="M39"/>
      <c r="N39"/>
      <c r="O39"/>
      <c r="P39"/>
    </row>
    <row r="40" spans="2:16">
      <c r="B40"/>
      <c r="F40"/>
      <c r="G40"/>
      <c r="H40"/>
      <c r="L40"/>
      <c r="M40"/>
      <c r="N40"/>
      <c r="O40"/>
      <c r="P40"/>
    </row>
    <row r="41" spans="2:16">
      <c r="B41"/>
      <c r="F41"/>
      <c r="G41"/>
      <c r="H41"/>
      <c r="L41"/>
      <c r="M41"/>
      <c r="N41"/>
      <c r="O41"/>
      <c r="P41"/>
    </row>
    <row r="42" spans="2:16">
      <c r="B42"/>
      <c r="F42"/>
      <c r="G42"/>
      <c r="H42"/>
      <c r="L42"/>
      <c r="M42"/>
      <c r="N42"/>
      <c r="O42"/>
      <c r="P42"/>
    </row>
    <row r="43" spans="2:16">
      <c r="B43"/>
      <c r="F43"/>
      <c r="G43"/>
      <c r="H43"/>
      <c r="L43"/>
      <c r="M43"/>
      <c r="N43"/>
      <c r="O43"/>
      <c r="P43"/>
    </row>
    <row r="48" spans="2:16">
      <c r="B48"/>
      <c r="D48" s="76" t="s">
        <v>307</v>
      </c>
      <c r="E48" s="48"/>
      <c r="F48" s="53">
        <f>SUM(F15:F47)</f>
        <v>30000</v>
      </c>
      <c r="G48" s="53">
        <f>SUM(G15:G47)</f>
        <v>0</v>
      </c>
      <c r="H48" s="77">
        <f>F48-G48</f>
        <v>30000</v>
      </c>
      <c r="L48"/>
      <c r="M48"/>
      <c r="N48"/>
      <c r="O48"/>
      <c r="P48"/>
    </row>
  </sheetData>
  <mergeCells count="2">
    <mergeCell ref="L1:P1"/>
    <mergeCell ref="C6:E6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1:P48"/>
  <sheetViews>
    <sheetView zoomScale="90" zoomScaleNormal="90" workbookViewId="0">
      <selection sqref="A1:XFD1048576"/>
    </sheetView>
  </sheetViews>
  <sheetFormatPr defaultRowHeight="12.75"/>
  <cols>
    <col min="1" max="1" width="0.7109375" customWidth="1"/>
    <col min="2" max="2" width="11.28515625" style="19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3" width="14.140625" style="30" customWidth="1"/>
    <col min="14" max="14" width="14.140625" style="156" customWidth="1"/>
    <col min="15" max="15" width="14.140625" style="30" customWidth="1"/>
    <col min="16" max="16" width="17.140625" style="30" customWidth="1"/>
  </cols>
  <sheetData>
    <row r="1" spans="2:16">
      <c r="B1" s="19" t="s">
        <v>49</v>
      </c>
      <c r="C1" t="s">
        <v>3</v>
      </c>
      <c r="D1" s="55" t="s">
        <v>676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19" t="s">
        <v>50</v>
      </c>
      <c r="C2" t="s">
        <v>3</v>
      </c>
      <c r="D2" s="158" t="s">
        <v>185</v>
      </c>
      <c r="G2" s="18" t="s">
        <v>53</v>
      </c>
      <c r="H2" s="159"/>
      <c r="L2" s="91" t="s">
        <v>338</v>
      </c>
      <c r="M2" s="91" t="s">
        <v>339</v>
      </c>
      <c r="N2" s="155" t="s">
        <v>340</v>
      </c>
      <c r="O2" s="91" t="s">
        <v>393</v>
      </c>
      <c r="P2" s="91" t="s">
        <v>341</v>
      </c>
    </row>
    <row r="3" spans="2:16">
      <c r="B3" s="19" t="s">
        <v>11</v>
      </c>
      <c r="C3" t="s">
        <v>3</v>
      </c>
      <c r="D3" s="25" t="s">
        <v>677</v>
      </c>
      <c r="G3" s="18" t="s">
        <v>61</v>
      </c>
      <c r="H3" s="292"/>
      <c r="L3" s="21">
        <v>0</v>
      </c>
      <c r="M3" s="92">
        <v>25000</v>
      </c>
      <c r="N3" s="156">
        <v>30000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42353</v>
      </c>
      <c r="L4" s="92"/>
      <c r="M4" s="92"/>
      <c r="N4" s="156">
        <v>5000</v>
      </c>
      <c r="O4" s="92"/>
    </row>
    <row r="5" spans="2:16">
      <c r="G5" s="18"/>
      <c r="M5" s="92"/>
      <c r="N5" s="156">
        <v>15000</v>
      </c>
    </row>
    <row r="6" spans="2:16">
      <c r="C6" s="686" t="s">
        <v>454</v>
      </c>
      <c r="D6" s="686"/>
      <c r="E6" s="686"/>
      <c r="G6" s="89" t="s">
        <v>381</v>
      </c>
      <c r="H6" s="142">
        <f>H4</f>
        <v>42353</v>
      </c>
      <c r="M6" s="92"/>
      <c r="N6" s="156">
        <v>20000</v>
      </c>
    </row>
    <row r="7" spans="2:16">
      <c r="G7" s="24" t="s">
        <v>55</v>
      </c>
    </row>
    <row r="8" spans="2:16">
      <c r="G8" s="18"/>
      <c r="M8" s="92"/>
    </row>
    <row r="11" spans="2:16">
      <c r="G11" s="18" t="s">
        <v>56</v>
      </c>
    </row>
    <row r="14" spans="2:16">
      <c r="B14" s="19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19">
        <v>42353</v>
      </c>
      <c r="D15" s="55" t="s">
        <v>286</v>
      </c>
      <c r="F15" s="21">
        <v>25000</v>
      </c>
      <c r="H15" s="21">
        <f>F15-G15</f>
        <v>25000</v>
      </c>
    </row>
    <row r="16" spans="2:16" ht="15" customHeight="1">
      <c r="D16" s="55" t="s">
        <v>282</v>
      </c>
      <c r="F16" s="21">
        <v>30000</v>
      </c>
      <c r="H16" s="21">
        <f>H15+F16-G16</f>
        <v>55000</v>
      </c>
    </row>
    <row r="17" spans="2:16" ht="15" customHeight="1">
      <c r="B17" s="19">
        <v>42357</v>
      </c>
      <c r="D17" s="55" t="s">
        <v>282</v>
      </c>
      <c r="F17" s="21">
        <v>5000</v>
      </c>
      <c r="H17" s="21">
        <f>H16+F17-G17</f>
        <v>60000</v>
      </c>
    </row>
    <row r="18" spans="2:16" ht="15" customHeight="1">
      <c r="B18" s="302">
        <v>42385</v>
      </c>
      <c r="D18" s="55" t="s">
        <v>282</v>
      </c>
      <c r="F18" s="21">
        <v>15000</v>
      </c>
      <c r="H18" s="21">
        <f>H17+F18-G18</f>
        <v>75000</v>
      </c>
    </row>
    <row r="19" spans="2:16" ht="15" customHeight="1">
      <c r="B19" s="302">
        <v>42388</v>
      </c>
      <c r="D19" s="55" t="s">
        <v>282</v>
      </c>
      <c r="F19" s="21">
        <v>20000</v>
      </c>
      <c r="H19" s="21">
        <f>H18+F19-G19</f>
        <v>95000</v>
      </c>
    </row>
    <row r="20" spans="2:16" ht="15" customHeight="1">
      <c r="B20"/>
    </row>
    <row r="21" spans="2:16" ht="15" customHeight="1">
      <c r="B21"/>
    </row>
    <row r="22" spans="2:16" ht="15" customHeight="1">
      <c r="B22"/>
    </row>
    <row r="23" spans="2:16" ht="15" customHeight="1">
      <c r="B23"/>
    </row>
    <row r="24" spans="2:16" ht="15" customHeight="1">
      <c r="B24"/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  <c r="L28" s="92">
        <f>SUM(L3:L11)</f>
        <v>0</v>
      </c>
      <c r="M28" s="92">
        <f>SUM(M3:M11)</f>
        <v>25000</v>
      </c>
      <c r="N28" s="156">
        <f>SUM(N3:N11)</f>
        <v>70000</v>
      </c>
      <c r="O28" s="92">
        <f>SUM(O3:O11)</f>
        <v>0</v>
      </c>
      <c r="P28" s="92">
        <f>SUM(P3:P11)</f>
        <v>0</v>
      </c>
    </row>
    <row r="29" spans="2:16" ht="15" customHeight="1">
      <c r="B29"/>
      <c r="P29" s="92">
        <f>SUM(L28:P28)</f>
        <v>95000</v>
      </c>
    </row>
    <row r="30" spans="2:16" ht="15" customHeight="1">
      <c r="B30"/>
    </row>
    <row r="31" spans="2:16">
      <c r="B31"/>
      <c r="F31"/>
      <c r="G31"/>
      <c r="H31"/>
      <c r="L31"/>
      <c r="M31"/>
      <c r="N31" s="291"/>
      <c r="O31"/>
      <c r="P31"/>
    </row>
    <row r="32" spans="2:16">
      <c r="B32"/>
      <c r="F32"/>
      <c r="G32"/>
      <c r="H32"/>
      <c r="L32"/>
      <c r="M32"/>
      <c r="N32" s="291"/>
      <c r="O32"/>
      <c r="P32"/>
    </row>
    <row r="33" spans="2:16">
      <c r="B33"/>
      <c r="F33"/>
      <c r="G33"/>
      <c r="H33"/>
      <c r="L33"/>
      <c r="M33"/>
      <c r="N33" s="291"/>
      <c r="O33"/>
      <c r="P33"/>
    </row>
    <row r="34" spans="2:16">
      <c r="B34"/>
      <c r="F34"/>
      <c r="G34"/>
      <c r="H34"/>
      <c r="L34"/>
      <c r="M34"/>
      <c r="N34" s="291"/>
      <c r="O34"/>
      <c r="P34"/>
    </row>
    <row r="35" spans="2:16">
      <c r="B35"/>
      <c r="F35"/>
      <c r="G35"/>
      <c r="H35"/>
      <c r="L35"/>
      <c r="M35"/>
      <c r="N35" s="291"/>
      <c r="O35"/>
      <c r="P35"/>
    </row>
    <row r="36" spans="2:16">
      <c r="B36"/>
      <c r="F36"/>
      <c r="G36"/>
      <c r="H36"/>
      <c r="L36"/>
      <c r="M36"/>
      <c r="N36" s="291"/>
      <c r="O36"/>
      <c r="P36"/>
    </row>
    <row r="37" spans="2:16">
      <c r="B37"/>
      <c r="F37"/>
      <c r="G37"/>
      <c r="H37"/>
      <c r="L37"/>
      <c r="M37"/>
      <c r="N37" s="291"/>
      <c r="O37"/>
      <c r="P37"/>
    </row>
    <row r="38" spans="2:16">
      <c r="B38"/>
      <c r="F38"/>
      <c r="G38"/>
      <c r="H38"/>
      <c r="L38"/>
      <c r="M38"/>
      <c r="N38" s="291"/>
      <c r="O38"/>
      <c r="P38"/>
    </row>
    <row r="39" spans="2:16">
      <c r="B39"/>
      <c r="F39"/>
      <c r="G39"/>
      <c r="H39"/>
      <c r="L39"/>
      <c r="M39"/>
      <c r="N39" s="291"/>
      <c r="O39"/>
      <c r="P39"/>
    </row>
    <row r="40" spans="2:16">
      <c r="B40"/>
      <c r="F40"/>
      <c r="G40"/>
      <c r="H40"/>
      <c r="L40"/>
      <c r="M40"/>
      <c r="N40" s="291"/>
      <c r="O40"/>
      <c r="P40"/>
    </row>
    <row r="41" spans="2:16">
      <c r="B41"/>
      <c r="F41"/>
      <c r="G41"/>
      <c r="H41"/>
      <c r="L41"/>
      <c r="M41"/>
      <c r="N41" s="291"/>
      <c r="O41"/>
      <c r="P41"/>
    </row>
    <row r="42" spans="2:16">
      <c r="B42"/>
      <c r="F42"/>
      <c r="G42"/>
      <c r="H42"/>
      <c r="L42"/>
      <c r="M42"/>
      <c r="N42" s="291"/>
      <c r="O42"/>
      <c r="P42"/>
    </row>
    <row r="43" spans="2:16">
      <c r="B43"/>
      <c r="F43"/>
      <c r="G43"/>
      <c r="H43"/>
      <c r="L43"/>
      <c r="M43"/>
      <c r="N43" s="291"/>
      <c r="O43"/>
      <c r="P43"/>
    </row>
    <row r="48" spans="2:16">
      <c r="B48"/>
      <c r="D48" s="76" t="s">
        <v>307</v>
      </c>
      <c r="E48" s="48"/>
      <c r="F48" s="53">
        <f>SUM(F15:F47)</f>
        <v>95000</v>
      </c>
      <c r="G48" s="53">
        <f>SUM(G15:G47)</f>
        <v>0</v>
      </c>
      <c r="H48" s="77">
        <f>F48-G48</f>
        <v>95000</v>
      </c>
      <c r="L48"/>
      <c r="M48"/>
      <c r="N48" s="291"/>
      <c r="O48"/>
      <c r="P48"/>
    </row>
  </sheetData>
  <mergeCells count="2">
    <mergeCell ref="L1:P1"/>
    <mergeCell ref="C6:E6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B1:P49"/>
  <sheetViews>
    <sheetView workbookViewId="0">
      <selection sqref="A1:XFD1048576"/>
    </sheetView>
  </sheetViews>
  <sheetFormatPr defaultRowHeight="12.75"/>
  <cols>
    <col min="1" max="1" width="0.7109375" customWidth="1"/>
    <col min="2" max="2" width="11.28515625" style="336" customWidth="1"/>
    <col min="3" max="3" width="1.5703125" customWidth="1"/>
    <col min="5" max="5" width="8.140625" customWidth="1"/>
    <col min="6" max="6" width="14" style="21" customWidth="1"/>
    <col min="7" max="7" width="13.28515625" style="21" customWidth="1"/>
    <col min="8" max="8" width="16.7109375" style="21" customWidth="1"/>
    <col min="9" max="9" width="5" customWidth="1"/>
    <col min="12" max="12" width="14.140625" style="30" customWidth="1"/>
    <col min="13" max="14" width="14.140625" style="156" customWidth="1"/>
    <col min="15" max="15" width="14.140625" style="30" customWidth="1"/>
    <col min="16" max="16" width="17.140625" style="30" customWidth="1"/>
  </cols>
  <sheetData>
    <row r="1" spans="2:16">
      <c r="B1" s="336" t="s">
        <v>49</v>
      </c>
      <c r="C1" t="s">
        <v>3</v>
      </c>
      <c r="D1" s="55" t="s">
        <v>708</v>
      </c>
      <c r="G1" s="18" t="s">
        <v>60</v>
      </c>
      <c r="L1" s="679" t="s">
        <v>337</v>
      </c>
      <c r="M1" s="679"/>
      <c r="N1" s="679"/>
      <c r="O1" s="679"/>
      <c r="P1" s="679"/>
    </row>
    <row r="2" spans="2:16">
      <c r="B2" s="336" t="s">
        <v>50</v>
      </c>
      <c r="C2" t="s">
        <v>3</v>
      </c>
      <c r="D2" s="158" t="s">
        <v>186</v>
      </c>
      <c r="G2" s="18" t="s">
        <v>53</v>
      </c>
      <c r="H2" s="159"/>
      <c r="L2" s="91" t="s">
        <v>338</v>
      </c>
      <c r="M2" s="155" t="s">
        <v>339</v>
      </c>
      <c r="N2" s="155" t="s">
        <v>340</v>
      </c>
      <c r="O2" s="91" t="s">
        <v>393</v>
      </c>
      <c r="P2" s="91" t="s">
        <v>341</v>
      </c>
    </row>
    <row r="3" spans="2:16">
      <c r="B3" s="336" t="s">
        <v>11</v>
      </c>
      <c r="C3" t="s">
        <v>3</v>
      </c>
      <c r="D3" s="25" t="s">
        <v>709</v>
      </c>
      <c r="G3" s="18" t="s">
        <v>61</v>
      </c>
      <c r="H3" s="292"/>
      <c r="L3" s="21"/>
      <c r="M3" s="156">
        <v>50000</v>
      </c>
      <c r="O3" s="92">
        <v>0</v>
      </c>
      <c r="P3" s="92"/>
    </row>
    <row r="4" spans="2:16">
      <c r="D4" s="55" t="s">
        <v>411</v>
      </c>
      <c r="G4" s="89" t="s">
        <v>379</v>
      </c>
      <c r="H4" s="141">
        <f>B15</f>
        <v>42553</v>
      </c>
      <c r="L4" s="92"/>
      <c r="M4" s="156">
        <v>50000</v>
      </c>
      <c r="O4" s="92"/>
    </row>
    <row r="5" spans="2:16">
      <c r="G5" s="18"/>
    </row>
    <row r="6" spans="2:16">
      <c r="C6" s="686" t="s">
        <v>454</v>
      </c>
      <c r="D6" s="686"/>
      <c r="E6" s="686"/>
      <c r="G6" s="89" t="s">
        <v>381</v>
      </c>
      <c r="H6" s="142">
        <f>H4</f>
        <v>42553</v>
      </c>
    </row>
    <row r="7" spans="2:16">
      <c r="G7" s="24" t="s">
        <v>55</v>
      </c>
    </row>
    <row r="8" spans="2:16">
      <c r="G8" s="18"/>
    </row>
    <row r="11" spans="2:16">
      <c r="G11" s="18" t="s">
        <v>56</v>
      </c>
    </row>
    <row r="14" spans="2:16">
      <c r="B14" s="336" t="s">
        <v>57</v>
      </c>
      <c r="D14" t="s">
        <v>58</v>
      </c>
      <c r="F14" s="20" t="s">
        <v>87</v>
      </c>
      <c r="G14" s="20" t="s">
        <v>88</v>
      </c>
      <c r="H14" s="20" t="s">
        <v>89</v>
      </c>
    </row>
    <row r="15" spans="2:16" ht="15" customHeight="1">
      <c r="B15" s="336">
        <v>42553</v>
      </c>
      <c r="D15" s="55" t="s">
        <v>286</v>
      </c>
      <c r="F15" s="21">
        <v>50000</v>
      </c>
      <c r="H15" s="21">
        <f>F15-G15</f>
        <v>50000</v>
      </c>
    </row>
    <row r="16" spans="2:16" ht="15" customHeight="1">
      <c r="B16" s="336">
        <v>42584</v>
      </c>
      <c r="D16" s="55" t="s">
        <v>286</v>
      </c>
      <c r="F16" s="21">
        <v>50000</v>
      </c>
      <c r="H16" s="21">
        <f>H15+F16-G16</f>
        <v>100000</v>
      </c>
    </row>
    <row r="17" spans="2:16" ht="15" customHeight="1">
      <c r="D17" s="55"/>
      <c r="H17" s="21">
        <f>H16+F17-G17</f>
        <v>100000</v>
      </c>
    </row>
    <row r="18" spans="2:16" ht="15" customHeight="1">
      <c r="B18" s="337"/>
      <c r="D18" s="55"/>
      <c r="H18" s="21">
        <f>H17+F18-G18</f>
        <v>100000</v>
      </c>
    </row>
    <row r="19" spans="2:16" ht="15" customHeight="1">
      <c r="B19" s="337"/>
      <c r="D19" s="55"/>
      <c r="H19" s="21">
        <f>H18+F19-G19</f>
        <v>100000</v>
      </c>
    </row>
    <row r="20" spans="2:16" ht="15" customHeight="1">
      <c r="B20"/>
    </row>
    <row r="21" spans="2:16" ht="15" customHeight="1">
      <c r="B21"/>
    </row>
    <row r="22" spans="2:16" ht="15" customHeight="1">
      <c r="B22"/>
    </row>
    <row r="23" spans="2:16" ht="15" customHeight="1">
      <c r="B23"/>
    </row>
    <row r="24" spans="2:16" ht="15" customHeight="1">
      <c r="B24"/>
    </row>
    <row r="25" spans="2:16" ht="15" customHeight="1">
      <c r="B25"/>
    </row>
    <row r="26" spans="2:16" ht="15" customHeight="1">
      <c r="B26"/>
    </row>
    <row r="27" spans="2:16" ht="15" customHeight="1">
      <c r="B27"/>
    </row>
    <row r="28" spans="2:16" ht="15" customHeight="1">
      <c r="B28"/>
    </row>
    <row r="29" spans="2:16" ht="15" customHeight="1">
      <c r="B29"/>
    </row>
    <row r="30" spans="2:16" ht="15" customHeight="1">
      <c r="B30"/>
    </row>
    <row r="31" spans="2:16">
      <c r="B31"/>
      <c r="F31"/>
      <c r="G31"/>
      <c r="H31"/>
      <c r="L31"/>
      <c r="M31" s="291"/>
      <c r="N31" s="291"/>
      <c r="O31"/>
      <c r="P31"/>
    </row>
    <row r="32" spans="2:16">
      <c r="B32"/>
      <c r="F32"/>
      <c r="G32"/>
      <c r="H32"/>
      <c r="L32"/>
      <c r="M32" s="291"/>
      <c r="N32" s="291"/>
      <c r="O32"/>
      <c r="P32"/>
    </row>
    <row r="33" spans="2:16">
      <c r="B33"/>
      <c r="F33"/>
      <c r="G33"/>
      <c r="H33"/>
      <c r="L33"/>
      <c r="M33" s="291"/>
      <c r="N33" s="291"/>
      <c r="O33"/>
      <c r="P33"/>
    </row>
    <row r="34" spans="2:16">
      <c r="B34"/>
      <c r="F34"/>
      <c r="G34"/>
      <c r="H34"/>
      <c r="L34"/>
      <c r="M34" s="291"/>
      <c r="N34" s="291"/>
      <c r="O34"/>
      <c r="P34"/>
    </row>
    <row r="35" spans="2:16">
      <c r="B35"/>
      <c r="F35"/>
      <c r="G35"/>
      <c r="H35"/>
      <c r="L35"/>
      <c r="M35" s="291"/>
      <c r="N35" s="291"/>
      <c r="O35"/>
      <c r="P35"/>
    </row>
    <row r="36" spans="2:16">
      <c r="B36"/>
      <c r="F36"/>
      <c r="G36"/>
      <c r="H36"/>
      <c r="L36"/>
      <c r="M36" s="291"/>
      <c r="N36" s="291"/>
      <c r="O36"/>
      <c r="P36"/>
    </row>
    <row r="37" spans="2:16">
      <c r="B37"/>
      <c r="F37"/>
      <c r="G37"/>
      <c r="H37"/>
      <c r="L37"/>
      <c r="M37" s="291"/>
      <c r="N37" s="291"/>
      <c r="O37"/>
      <c r="P37"/>
    </row>
    <row r="38" spans="2:16">
      <c r="B38"/>
      <c r="F38"/>
      <c r="G38"/>
      <c r="H38"/>
      <c r="L38"/>
      <c r="M38" s="291"/>
      <c r="N38" s="291"/>
      <c r="O38"/>
      <c r="P38"/>
    </row>
    <row r="39" spans="2:16">
      <c r="B39"/>
      <c r="F39"/>
      <c r="G39"/>
      <c r="H39"/>
      <c r="L39"/>
      <c r="M39" s="291"/>
      <c r="N39" s="291"/>
      <c r="O39"/>
      <c r="P39"/>
    </row>
    <row r="40" spans="2:16">
      <c r="B40"/>
      <c r="F40"/>
      <c r="G40"/>
      <c r="H40"/>
      <c r="L40"/>
      <c r="M40" s="291"/>
      <c r="N40" s="291"/>
      <c r="O40"/>
      <c r="P40"/>
    </row>
    <row r="41" spans="2:16">
      <c r="B41"/>
      <c r="F41"/>
      <c r="G41"/>
      <c r="H41"/>
      <c r="L41"/>
      <c r="M41" s="291"/>
      <c r="N41" s="291"/>
      <c r="O41"/>
      <c r="P41"/>
    </row>
    <row r="42" spans="2:16">
      <c r="B42"/>
      <c r="F42"/>
      <c r="G42"/>
      <c r="H42"/>
      <c r="L42"/>
      <c r="M42" s="291"/>
      <c r="N42" s="291"/>
      <c r="O42"/>
      <c r="P42"/>
    </row>
    <row r="43" spans="2:16">
      <c r="B43"/>
      <c r="F43"/>
      <c r="G43"/>
      <c r="H43"/>
      <c r="L43"/>
      <c r="M43" s="291"/>
      <c r="N43" s="291"/>
      <c r="O43"/>
      <c r="P43"/>
    </row>
    <row r="48" spans="2:16">
      <c r="B48"/>
      <c r="D48" s="76" t="s">
        <v>307</v>
      </c>
      <c r="E48" s="48"/>
      <c r="F48" s="53">
        <f>SUM(F15:F47)</f>
        <v>100000</v>
      </c>
      <c r="G48" s="53">
        <f>SUM(G15:G47)</f>
        <v>0</v>
      </c>
      <c r="H48" s="77">
        <f>F48-G48</f>
        <v>100000</v>
      </c>
      <c r="L48" s="92">
        <f>SUM(L3:L11)</f>
        <v>0</v>
      </c>
      <c r="M48" s="156">
        <f>SUM(M3:M11)</f>
        <v>100000</v>
      </c>
      <c r="N48" s="156">
        <f>SUM(N3:N11)</f>
        <v>0</v>
      </c>
      <c r="O48" s="92">
        <f>SUM(O3:O11)</f>
        <v>0</v>
      </c>
      <c r="P48" s="92">
        <f>SUM(P3:P11)</f>
        <v>0</v>
      </c>
    </row>
    <row r="49" spans="16:16" customFormat="1">
      <c r="P49" s="92">
        <f>SUM(L48:P48)</f>
        <v>100000</v>
      </c>
    </row>
  </sheetData>
  <mergeCells count="2">
    <mergeCell ref="L1:P1"/>
    <mergeCell ref="C6:E6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sheetPr>
    <tabColor rgb="FF0070C0"/>
  </sheetPr>
  <dimension ref="A1:C12"/>
  <sheetViews>
    <sheetView workbookViewId="0">
      <selection activeCell="A18" sqref="A18"/>
    </sheetView>
  </sheetViews>
  <sheetFormatPr defaultRowHeight="12.75"/>
  <cols>
    <col min="1" max="1" width="27.28515625" customWidth="1"/>
    <col min="2" max="2" width="25.85546875" customWidth="1"/>
    <col min="3" max="3" width="36" customWidth="1"/>
  </cols>
  <sheetData>
    <row r="1" spans="1:3" ht="31.5">
      <c r="A1" s="78" t="s">
        <v>55</v>
      </c>
      <c r="B1" s="78"/>
      <c r="C1" s="81" t="s">
        <v>312</v>
      </c>
    </row>
    <row r="4" spans="1:3" ht="13.5" thickBot="1"/>
    <row r="5" spans="1:3" ht="29.25" customHeight="1" thickBot="1">
      <c r="A5" s="79" t="s">
        <v>311</v>
      </c>
      <c r="B5" s="85">
        <f ca="1">NOW()</f>
        <v>44147.273303935188</v>
      </c>
      <c r="C5" s="80">
        <f>'0098'!H50+'0002'!H50+'0003'!H50+'0004'!H50+'0096'!H40+'0006'!H50+'0099'!H41+'0008'!H50+'0009'!H49+'0101'!H50+'0082'!H53+'0012'!H51+'0013'!H51+'0014'!H50+'0015'!H102+'0016'!H50+'0017'!H51+'0102'!H50+'0097'!H39+'0020'!H78+'0021'!H50+'0094'!H43+'0023'!H67+'0092'!H50+'0091'!H50+'0026'!H55+'0027'!H50+'0093'!H50+'0029'!H52+'0030'!H65+'0031'!H50+'0087'!H50+'0103'!H50+'0034'!H54+'0104'!H62+'0036'!H51+'0037'!H50+'0038'!H49+'0105'!H50+'0040'!H50+'0041'!H87+'0042'!H55+'0043'!H50+'0044'!H50+'0045'!H66+'0046'!H54+'0047'!H50+'0048'!H47</f>
        <v>74233396.780954257</v>
      </c>
    </row>
    <row r="6" spans="1:3" ht="13.5" thickBot="1"/>
    <row r="7" spans="1:3" ht="30" customHeight="1" thickBot="1">
      <c r="A7" t="s">
        <v>325</v>
      </c>
      <c r="C7" s="87">
        <f>MMBUDI!H50+MMSPRLN!H38</f>
        <v>0</v>
      </c>
    </row>
    <row r="8" spans="1:3">
      <c r="A8" t="s">
        <v>344</v>
      </c>
    </row>
    <row r="9" spans="1:3">
      <c r="A9" t="s">
        <v>345</v>
      </c>
      <c r="B9" t="s">
        <v>326</v>
      </c>
      <c r="C9" s="86">
        <v>4450000</v>
      </c>
    </row>
    <row r="10" spans="1:3">
      <c r="A10" t="s">
        <v>343</v>
      </c>
      <c r="B10" t="s">
        <v>346</v>
      </c>
      <c r="C10" s="86">
        <v>13000000</v>
      </c>
    </row>
    <row r="11" spans="1:3" ht="13.5" thickBot="1">
      <c r="A11" t="s">
        <v>361</v>
      </c>
      <c r="B11" s="19">
        <v>41124</v>
      </c>
      <c r="C11" s="21">
        <v>13000000</v>
      </c>
    </row>
    <row r="12" spans="1:3" ht="13.5" thickBot="1">
      <c r="A12" s="93" t="s">
        <v>426</v>
      </c>
      <c r="C12" s="140">
        <f>SUM(C9:C11)</f>
        <v>30450000</v>
      </c>
    </row>
  </sheetData>
  <phoneticPr fontId="7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110</vt:i4>
      </vt:variant>
      <vt:variant>
        <vt:lpstr>Named Ranges</vt:lpstr>
      </vt:variant>
      <vt:variant>
        <vt:i4>65</vt:i4>
      </vt:variant>
    </vt:vector>
  </HeadingPairs>
  <TitlesOfParts>
    <vt:vector size="175" baseType="lpstr">
      <vt:lpstr>DAFTAR ANGGT</vt:lpstr>
      <vt:lpstr>0003</vt:lpstr>
      <vt:lpstr>0004</vt:lpstr>
      <vt:lpstr>0006</vt:lpstr>
      <vt:lpstr>0008</vt:lpstr>
      <vt:lpstr>0009</vt:lpstr>
      <vt:lpstr>0013</vt:lpstr>
      <vt:lpstr>0015</vt:lpstr>
      <vt:lpstr>0016</vt:lpstr>
      <vt:lpstr>0017</vt:lpstr>
      <vt:lpstr>0020</vt:lpstr>
      <vt:lpstr>0023</vt:lpstr>
      <vt:lpstr>0026</vt:lpstr>
      <vt:lpstr>0027</vt:lpstr>
      <vt:lpstr>0091</vt:lpstr>
      <vt:lpstr>0092</vt:lpstr>
      <vt:lpstr>0093</vt:lpstr>
      <vt:lpstr>0029</vt:lpstr>
      <vt:lpstr>0030</vt:lpstr>
      <vt:lpstr>0036</vt:lpstr>
      <vt:lpstr>0037</vt:lpstr>
      <vt:lpstr>0038</vt:lpstr>
      <vt:lpstr>0040</vt:lpstr>
      <vt:lpstr>0041</vt:lpstr>
      <vt:lpstr>0042</vt:lpstr>
      <vt:lpstr>0045</vt:lpstr>
      <vt:lpstr>0047</vt:lpstr>
      <vt:lpstr>0049</vt:lpstr>
      <vt:lpstr>0050</vt:lpstr>
      <vt:lpstr>0051</vt:lpstr>
      <vt:lpstr>0052</vt:lpstr>
      <vt:lpstr>0053</vt:lpstr>
      <vt:lpstr>0054</vt:lpstr>
      <vt:lpstr>0055</vt:lpstr>
      <vt:lpstr>0057</vt:lpstr>
      <vt:lpstr>0060</vt:lpstr>
      <vt:lpstr>0062</vt:lpstr>
      <vt:lpstr>0065</vt:lpstr>
      <vt:lpstr>0067</vt:lpstr>
      <vt:lpstr>0072</vt:lpstr>
      <vt:lpstr>0073</vt:lpstr>
      <vt:lpstr>0079</vt:lpstr>
      <vt:lpstr>0080</vt:lpstr>
      <vt:lpstr>0081</vt:lpstr>
      <vt:lpstr>0082</vt:lpstr>
      <vt:lpstr>0086</vt:lpstr>
      <vt:lpstr>0087</vt:lpstr>
      <vt:lpstr>0088</vt:lpstr>
      <vt:lpstr>0089</vt:lpstr>
      <vt:lpstr>0090</vt:lpstr>
      <vt:lpstr>0094</vt:lpstr>
      <vt:lpstr>0095</vt:lpstr>
      <vt:lpstr>0096</vt:lpstr>
      <vt:lpstr>0097</vt:lpstr>
      <vt:lpstr>0098</vt:lpstr>
      <vt:lpstr>0099</vt:lpstr>
      <vt:lpstr>0101</vt:lpstr>
      <vt:lpstr>0102</vt:lpstr>
      <vt:lpstr>0103</vt:lpstr>
      <vt:lpstr>0104</vt:lpstr>
      <vt:lpstr>0105</vt:lpstr>
      <vt:lpstr>0106</vt:lpstr>
      <vt:lpstr>0107</vt:lpstr>
      <vt:lpstr>0108</vt:lpstr>
      <vt:lpstr>0109</vt:lpstr>
      <vt:lpstr>0110</vt:lpstr>
      <vt:lpstr>0111</vt:lpstr>
      <vt:lpstr>0112</vt:lpstr>
      <vt:lpstr>0113</vt:lpstr>
      <vt:lpstr>0114</vt:lpstr>
      <vt:lpstr>0115</vt:lpstr>
      <vt:lpstr>0116</vt:lpstr>
      <vt:lpstr>0117</vt:lpstr>
      <vt:lpstr>0118</vt:lpstr>
      <vt:lpstr>0119</vt:lpstr>
      <vt:lpstr>0120</vt:lpstr>
      <vt:lpstr>0121</vt:lpstr>
      <vt:lpstr>0122</vt:lpstr>
      <vt:lpstr>0123</vt:lpstr>
      <vt:lpstr>0012</vt:lpstr>
      <vt:lpstr>0078</vt:lpstr>
      <vt:lpstr>0002</vt:lpstr>
      <vt:lpstr>0014</vt:lpstr>
      <vt:lpstr>0061</vt:lpstr>
      <vt:lpstr>0031</vt:lpstr>
      <vt:lpstr>0021</vt:lpstr>
      <vt:lpstr>0034</vt:lpstr>
      <vt:lpstr>0044</vt:lpstr>
      <vt:lpstr>0046</vt:lpstr>
      <vt:lpstr>0048</vt:lpstr>
      <vt:lpstr>0058</vt:lpstr>
      <vt:lpstr>0059</vt:lpstr>
      <vt:lpstr>0069</vt:lpstr>
      <vt:lpstr>0070</vt:lpstr>
      <vt:lpstr>0071</vt:lpstr>
      <vt:lpstr>0074</vt:lpstr>
      <vt:lpstr>0075</vt:lpstr>
      <vt:lpstr>0077</vt:lpstr>
      <vt:lpstr>TOTAL</vt:lpstr>
      <vt:lpstr>0043</vt:lpstr>
      <vt:lpstr>0068</vt:lpstr>
      <vt:lpstr>Sheet1</vt:lpstr>
      <vt:lpstr>MMBUDI</vt:lpstr>
      <vt:lpstr>MMSPRLN</vt:lpstr>
      <vt:lpstr>TTD SHU</vt:lpstr>
      <vt:lpstr>ABSEN</vt:lpstr>
      <vt:lpstr>DAFTAR</vt:lpstr>
      <vt:lpstr>TREND AGT</vt:lpstr>
      <vt:lpstr>Sheet2</vt:lpstr>
      <vt:lpstr>Sheet3</vt:lpstr>
      <vt:lpstr>'0002'!Print_Area</vt:lpstr>
      <vt:lpstr>'0003'!Print_Area</vt:lpstr>
      <vt:lpstr>'0004'!Print_Area</vt:lpstr>
      <vt:lpstr>'0006'!Print_Area</vt:lpstr>
      <vt:lpstr>'0008'!Print_Area</vt:lpstr>
      <vt:lpstr>'0009'!Print_Area</vt:lpstr>
      <vt:lpstr>'0012'!Print_Area</vt:lpstr>
      <vt:lpstr>'0013'!Print_Area</vt:lpstr>
      <vt:lpstr>'0014'!Print_Area</vt:lpstr>
      <vt:lpstr>'0015'!Print_Area</vt:lpstr>
      <vt:lpstr>'0016'!Print_Area</vt:lpstr>
      <vt:lpstr>'0017'!Print_Area</vt:lpstr>
      <vt:lpstr>'0020'!Print_Area</vt:lpstr>
      <vt:lpstr>'0021'!Print_Area</vt:lpstr>
      <vt:lpstr>'0023'!Print_Area</vt:lpstr>
      <vt:lpstr>'0026'!Print_Area</vt:lpstr>
      <vt:lpstr>'0027'!Print_Area</vt:lpstr>
      <vt:lpstr>'0029'!Print_Area</vt:lpstr>
      <vt:lpstr>'0030'!Print_Area</vt:lpstr>
      <vt:lpstr>'0031'!Print_Area</vt:lpstr>
      <vt:lpstr>'0034'!Print_Area</vt:lpstr>
      <vt:lpstr>'0036'!Print_Area</vt:lpstr>
      <vt:lpstr>'0037'!Print_Area</vt:lpstr>
      <vt:lpstr>'0038'!Print_Area</vt:lpstr>
      <vt:lpstr>'0040'!Print_Area</vt:lpstr>
      <vt:lpstr>'0041'!Print_Area</vt:lpstr>
      <vt:lpstr>'0042'!Print_Area</vt:lpstr>
      <vt:lpstr>'0043'!Print_Area</vt:lpstr>
      <vt:lpstr>'0045'!Print_Area</vt:lpstr>
      <vt:lpstr>'0046'!Print_Area</vt:lpstr>
      <vt:lpstr>'0047'!Print_Area</vt:lpstr>
      <vt:lpstr>'0048'!Print_Area</vt:lpstr>
      <vt:lpstr>'0049'!Print_Area</vt:lpstr>
      <vt:lpstr>'0050'!Print_Area</vt:lpstr>
      <vt:lpstr>'0051'!Print_Area</vt:lpstr>
      <vt:lpstr>'0052'!Print_Area</vt:lpstr>
      <vt:lpstr>'0053'!Print_Area</vt:lpstr>
      <vt:lpstr>'0054'!Print_Area</vt:lpstr>
      <vt:lpstr>'0055'!Print_Area</vt:lpstr>
      <vt:lpstr>'0082'!Print_Area</vt:lpstr>
      <vt:lpstr>'0087'!Print_Area</vt:lpstr>
      <vt:lpstr>'0091'!Print_Area</vt:lpstr>
      <vt:lpstr>'0092'!Print_Area</vt:lpstr>
      <vt:lpstr>'0093'!Print_Area</vt:lpstr>
      <vt:lpstr>'0094'!Print_Area</vt:lpstr>
      <vt:lpstr>'0095'!Print_Area</vt:lpstr>
      <vt:lpstr>'0096'!Print_Area</vt:lpstr>
      <vt:lpstr>'0097'!Print_Area</vt:lpstr>
      <vt:lpstr>'0098'!Print_Area</vt:lpstr>
      <vt:lpstr>'0099'!Print_Area</vt:lpstr>
      <vt:lpstr>'0101'!Print_Area</vt:lpstr>
      <vt:lpstr>'0102'!Print_Area</vt:lpstr>
      <vt:lpstr>'0103'!Print_Area</vt:lpstr>
      <vt:lpstr>'0104'!Print_Area</vt:lpstr>
      <vt:lpstr>'0105'!Print_Area</vt:lpstr>
      <vt:lpstr>'0118'!Print_Area</vt:lpstr>
      <vt:lpstr>ABSEN!Print_Area</vt:lpstr>
      <vt:lpstr>'DAFTAR ANGGT'!Print_Area</vt:lpstr>
      <vt:lpstr>Sheet3!Print_Area</vt:lpstr>
      <vt:lpstr>'TTD SHU'!Print_Area</vt:lpstr>
      <vt:lpstr>ABSEN!Print_Titles</vt:lpstr>
      <vt:lpstr>DAFTAR!Print_Titles</vt:lpstr>
      <vt:lpstr>'DAFTAR ANGGT'!Print_Titles</vt:lpstr>
      <vt:lpstr>Sheet2!Print_Titles</vt:lpstr>
      <vt:lpstr>'TTD SHU'!Print_Titles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DM2</cp:lastModifiedBy>
  <cp:lastPrinted>2020-10-16T01:34:44Z</cp:lastPrinted>
  <dcterms:created xsi:type="dcterms:W3CDTF">2006-09-22T07:56:31Z</dcterms:created>
  <dcterms:modified xsi:type="dcterms:W3CDTF">2020-11-11T23:33:35Z</dcterms:modified>
</cp:coreProperties>
</file>