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tthew\Documents\DSE\WeFlyCycle\Structural Analysis\"/>
    </mc:Choice>
  </mc:AlternateContent>
  <xr:revisionPtr revIDLastSave="0" documentId="13_ncr:1_{4B4560FB-B435-4229-92C1-8C8D80E1411E}" xr6:coauthVersionLast="45" xr6:coauthVersionMax="45" xr10:uidLastSave="{00000000-0000-0000-0000-000000000000}"/>
  <bookViews>
    <workbookView xWindow="5760" yWindow="1008" windowWidth="17280" windowHeight="8964" firstSheet="2" activeTab="3" xr2:uid="{00000000-000D-0000-FFFF-FFFF00000000}"/>
  </bookViews>
  <sheets>
    <sheet name="Instructions" sheetId="4" r:id="rId1"/>
    <sheet name="Wing" sheetId="1" r:id="rId2"/>
    <sheet name="Fuselage" sheetId="2" r:id="rId3"/>
    <sheet name="Input parameters" sheetId="3" r:id="rId4"/>
    <sheet name="Sheet1" sheetId="6" r:id="rId5"/>
    <sheet name="Results" sheetId="5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24" i="1"/>
  <c r="C18" i="1"/>
  <c r="J35" i="1"/>
  <c r="I35" i="1"/>
  <c r="H35" i="1"/>
  <c r="C55" i="2"/>
  <c r="C33" i="1" l="1"/>
  <c r="C27" i="1"/>
  <c r="C21" i="1"/>
  <c r="C20" i="1"/>
  <c r="C19" i="1"/>
  <c r="C17" i="1"/>
  <c r="C10" i="1"/>
  <c r="C4" i="1"/>
  <c r="C2" i="1"/>
  <c r="C6" i="1" s="1"/>
  <c r="C7" i="1" l="1"/>
  <c r="C8" i="1" s="1"/>
  <c r="C22" i="1"/>
  <c r="C28" i="1"/>
  <c r="B68" i="5"/>
  <c r="B61" i="5"/>
  <c r="B55" i="5"/>
  <c r="B43" i="5"/>
  <c r="D37" i="5"/>
  <c r="B36" i="5"/>
  <c r="C13" i="1" l="1"/>
  <c r="C12" i="1"/>
  <c r="B35" i="5"/>
  <c r="M66" i="6"/>
  <c r="L66" i="6"/>
  <c r="K66" i="6"/>
  <c r="K65" i="6"/>
  <c r="M64" i="6"/>
  <c r="L64" i="6"/>
  <c r="K64" i="6"/>
  <c r="L56" i="6"/>
  <c r="M58" i="6"/>
  <c r="L58" i="6"/>
  <c r="K58" i="6"/>
  <c r="M51" i="6"/>
  <c r="L51" i="6"/>
  <c r="K51" i="6"/>
  <c r="K44" i="6"/>
  <c r="M47" i="6"/>
  <c r="L47" i="6"/>
  <c r="K47" i="6"/>
  <c r="M42" i="6"/>
  <c r="L42" i="6"/>
  <c r="K42" i="6"/>
  <c r="M36" i="6"/>
  <c r="L36" i="6"/>
  <c r="K36" i="6"/>
  <c r="K34" i="6" s="1"/>
  <c r="K38" i="6" s="1"/>
  <c r="M34" i="6"/>
  <c r="M38" i="6" s="1"/>
  <c r="L34" i="6"/>
  <c r="L38" i="6" s="1"/>
  <c r="V65" i="6"/>
  <c r="U65" i="6"/>
  <c r="T65" i="6"/>
  <c r="V60" i="6"/>
  <c r="U60" i="6"/>
  <c r="V59" i="6"/>
  <c r="U59" i="6"/>
  <c r="T59" i="6"/>
  <c r="V57" i="6"/>
  <c r="U57" i="6"/>
  <c r="T57" i="6"/>
  <c r="V56" i="6"/>
  <c r="U56" i="6"/>
  <c r="T56" i="6"/>
  <c r="V55" i="6"/>
  <c r="U55" i="6"/>
  <c r="U54" i="6"/>
  <c r="V53" i="6"/>
  <c r="U53" i="6"/>
  <c r="T53" i="6"/>
  <c r="V52" i="6"/>
  <c r="U52" i="6"/>
  <c r="T52" i="6"/>
  <c r="V51" i="6"/>
  <c r="U51" i="6"/>
  <c r="T51" i="6"/>
  <c r="V50" i="6"/>
  <c r="U50" i="6"/>
  <c r="T50" i="6"/>
  <c r="V49" i="6"/>
  <c r="U49" i="6"/>
  <c r="T49" i="6"/>
  <c r="V42" i="6"/>
  <c r="U42" i="6"/>
  <c r="T42" i="6"/>
  <c r="V36" i="6"/>
  <c r="U36" i="6"/>
  <c r="U34" i="6" s="1"/>
  <c r="U38" i="6" s="1"/>
  <c r="T36" i="6"/>
  <c r="T34" i="6" s="1"/>
  <c r="V34" i="6"/>
  <c r="V38" i="6" s="1"/>
  <c r="M28" i="6"/>
  <c r="L28" i="6"/>
  <c r="K28" i="6"/>
  <c r="L27" i="6"/>
  <c r="K27" i="6"/>
  <c r="M26" i="6"/>
  <c r="L26" i="6"/>
  <c r="K26" i="6"/>
  <c r="L25" i="6"/>
  <c r="K25" i="6"/>
  <c r="L24" i="6"/>
  <c r="M24" i="6"/>
  <c r="K24" i="6"/>
  <c r="D53" i="6"/>
  <c r="C53" i="6"/>
  <c r="E51" i="6"/>
  <c r="D51" i="6"/>
  <c r="C51" i="6"/>
  <c r="E50" i="6"/>
  <c r="D50" i="6"/>
  <c r="C50" i="6"/>
  <c r="E49" i="6"/>
  <c r="D49" i="6"/>
  <c r="C49" i="6"/>
  <c r="E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0" i="6"/>
  <c r="D40" i="6"/>
  <c r="C40" i="6"/>
  <c r="E37" i="6"/>
  <c r="C35" i="6"/>
  <c r="E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8" i="6"/>
  <c r="D28" i="6"/>
  <c r="C28" i="6"/>
  <c r="E27" i="6"/>
  <c r="D27" i="6"/>
  <c r="C27" i="6"/>
  <c r="E26" i="6"/>
  <c r="D26" i="6"/>
  <c r="C26" i="6"/>
  <c r="E25" i="6"/>
  <c r="D25" i="6"/>
  <c r="C25" i="6"/>
  <c r="C23" i="6" s="1"/>
  <c r="C24" i="6" s="1"/>
  <c r="E23" i="6"/>
  <c r="E24" i="6" s="1"/>
  <c r="D23" i="6"/>
  <c r="D24" i="6" s="1"/>
  <c r="E22" i="6"/>
  <c r="D22" i="6"/>
  <c r="C22" i="6"/>
  <c r="E21" i="6"/>
  <c r="E19" i="6" s="1"/>
  <c r="D21" i="6"/>
  <c r="D20" i="6" s="1"/>
  <c r="D19" i="6" s="1"/>
  <c r="C21" i="6"/>
  <c r="C20" i="6" s="1"/>
  <c r="C19" i="6" s="1"/>
  <c r="E20" i="6"/>
  <c r="D18" i="6"/>
  <c r="C18" i="6"/>
  <c r="K16" i="6" s="1"/>
  <c r="D17" i="6"/>
  <c r="L16" i="6" s="1"/>
  <c r="C17" i="6"/>
  <c r="D14" i="6"/>
  <c r="C14" i="6"/>
  <c r="E13" i="6"/>
  <c r="D11" i="6"/>
  <c r="C11" i="6"/>
  <c r="D10" i="6"/>
  <c r="C10" i="6"/>
  <c r="E8" i="6"/>
  <c r="D8" i="6"/>
  <c r="C8" i="6"/>
  <c r="E7" i="6"/>
  <c r="E9" i="6" s="1"/>
  <c r="D7" i="6"/>
  <c r="D9" i="6" s="1"/>
  <c r="C7" i="6"/>
  <c r="C9" i="6" s="1"/>
  <c r="E4" i="6"/>
  <c r="M23" i="6"/>
  <c r="L23" i="6"/>
  <c r="K23" i="6"/>
  <c r="K19" i="6"/>
  <c r="L18" i="6"/>
  <c r="M18" i="6"/>
  <c r="K18" i="6"/>
  <c r="M17" i="6"/>
  <c r="L17" i="6"/>
  <c r="K17" i="6"/>
  <c r="M16" i="6"/>
  <c r="M30" i="6"/>
  <c r="L30" i="6"/>
  <c r="K30" i="6"/>
  <c r="L12" i="6"/>
  <c r="M12" i="6"/>
  <c r="K12" i="6"/>
  <c r="M9" i="6"/>
  <c r="L9" i="6"/>
  <c r="K9" i="6"/>
  <c r="M8" i="6"/>
  <c r="L8" i="6"/>
  <c r="M6" i="6"/>
  <c r="L6" i="6"/>
  <c r="K6" i="6"/>
  <c r="L45" i="3"/>
  <c r="M45" i="3"/>
  <c r="K45" i="3"/>
  <c r="B60" i="5"/>
  <c r="L36" i="3"/>
  <c r="C54" i="3"/>
  <c r="D54" i="3"/>
  <c r="M36" i="3" s="1"/>
  <c r="B54" i="3"/>
  <c r="K36" i="3" s="1"/>
  <c r="B52" i="3"/>
  <c r="D51" i="3"/>
  <c r="C51" i="3"/>
  <c r="B51" i="3"/>
  <c r="C14" i="1" l="1"/>
  <c r="L40" i="6"/>
  <c r="L39" i="6"/>
  <c r="M39" i="6"/>
  <c r="M40" i="6"/>
  <c r="M45" i="6" s="1"/>
  <c r="K39" i="6"/>
  <c r="K40" i="6"/>
  <c r="V40" i="6"/>
  <c r="V39" i="6"/>
  <c r="T54" i="6"/>
  <c r="T60" i="6"/>
  <c r="T38" i="6"/>
  <c r="U39" i="6"/>
  <c r="U40" i="6" s="1"/>
  <c r="V54" i="6"/>
  <c r="C4" i="6"/>
  <c r="D4" i="6"/>
  <c r="D34" i="6"/>
  <c r="L44" i="3"/>
  <c r="M44" i="3"/>
  <c r="K44" i="3"/>
  <c r="D21" i="3"/>
  <c r="E21" i="3"/>
  <c r="C21" i="3"/>
  <c r="L53" i="3"/>
  <c r="E35" i="3"/>
  <c r="L34" i="3"/>
  <c r="D16" i="3"/>
  <c r="E16" i="3"/>
  <c r="D35" i="3"/>
  <c r="C35" i="3"/>
  <c r="C12" i="3"/>
  <c r="K53" i="3"/>
  <c r="M28" i="3"/>
  <c r="L28" i="3"/>
  <c r="M51" i="3"/>
  <c r="L51" i="3"/>
  <c r="K51" i="3"/>
  <c r="M50" i="3"/>
  <c r="L50" i="3"/>
  <c r="K50" i="3"/>
  <c r="M49" i="3"/>
  <c r="L49" i="3"/>
  <c r="K49" i="3"/>
  <c r="M48" i="3"/>
  <c r="M47" i="3"/>
  <c r="L47" i="3"/>
  <c r="K47" i="3"/>
  <c r="M46" i="3"/>
  <c r="L46" i="3"/>
  <c r="K46" i="3"/>
  <c r="M43" i="3"/>
  <c r="L43" i="3"/>
  <c r="K43" i="3"/>
  <c r="M40" i="3"/>
  <c r="L40" i="3"/>
  <c r="K40" i="3"/>
  <c r="M37" i="3"/>
  <c r="K35" i="3"/>
  <c r="M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K28" i="3"/>
  <c r="M27" i="3"/>
  <c r="L27" i="3"/>
  <c r="K27" i="3"/>
  <c r="M26" i="3"/>
  <c r="L26" i="3"/>
  <c r="L23" i="3" s="1"/>
  <c r="L24" i="3" s="1"/>
  <c r="K26" i="3"/>
  <c r="K23" i="3" s="1"/>
  <c r="K24" i="3" s="1"/>
  <c r="M25" i="3"/>
  <c r="L25" i="3"/>
  <c r="K25" i="3"/>
  <c r="M23" i="3"/>
  <c r="M24" i="3" s="1"/>
  <c r="M22" i="3"/>
  <c r="L22" i="3"/>
  <c r="K22" i="3"/>
  <c r="M21" i="3"/>
  <c r="M19" i="3" s="1"/>
  <c r="L21" i="3"/>
  <c r="L20" i="3" s="1"/>
  <c r="L19" i="3" s="1"/>
  <c r="K21" i="3"/>
  <c r="K20" i="3" s="1"/>
  <c r="K19" i="3" s="1"/>
  <c r="M20" i="3"/>
  <c r="L18" i="3"/>
  <c r="K18" i="3"/>
  <c r="L17" i="3"/>
  <c r="K17" i="3"/>
  <c r="L14" i="3"/>
  <c r="K14" i="3"/>
  <c r="M13" i="3"/>
  <c r="L11" i="3"/>
  <c r="K11" i="3"/>
  <c r="L10" i="3"/>
  <c r="K10" i="3"/>
  <c r="K9" i="3"/>
  <c r="M8" i="3"/>
  <c r="L8" i="3"/>
  <c r="K8" i="3"/>
  <c r="M7" i="3"/>
  <c r="M9" i="3" s="1"/>
  <c r="L7" i="3"/>
  <c r="L9" i="3" s="1"/>
  <c r="K7" i="3"/>
  <c r="M4" i="3"/>
  <c r="L4" i="3"/>
  <c r="K28" i="5"/>
  <c r="L18" i="5"/>
  <c r="L17" i="5"/>
  <c r="M19" i="5"/>
  <c r="M20" i="5"/>
  <c r="L19" i="5"/>
  <c r="K24" i="5"/>
  <c r="K19" i="5"/>
  <c r="L20" i="5"/>
  <c r="K20" i="5"/>
  <c r="M21" i="5"/>
  <c r="M4" i="5" s="1"/>
  <c r="C49" i="5"/>
  <c r="C48" i="5"/>
  <c r="C47" i="5"/>
  <c r="C43" i="5"/>
  <c r="C42" i="5"/>
  <c r="C41" i="5"/>
  <c r="C37" i="5"/>
  <c r="M51" i="5"/>
  <c r="L51" i="5"/>
  <c r="K51" i="5"/>
  <c r="M50" i="5"/>
  <c r="L50" i="5"/>
  <c r="K50" i="5"/>
  <c r="M49" i="5"/>
  <c r="L49" i="5"/>
  <c r="K49" i="5"/>
  <c r="M48" i="5"/>
  <c r="M47" i="5"/>
  <c r="L47" i="5"/>
  <c r="K47" i="5"/>
  <c r="M46" i="5"/>
  <c r="L46" i="5"/>
  <c r="K46" i="5"/>
  <c r="M45" i="5"/>
  <c r="L45" i="5"/>
  <c r="K45" i="5"/>
  <c r="M44" i="5"/>
  <c r="L44" i="5"/>
  <c r="K44" i="5"/>
  <c r="M43" i="5"/>
  <c r="L43" i="5"/>
  <c r="K43" i="5"/>
  <c r="M40" i="5"/>
  <c r="L40" i="5"/>
  <c r="K40" i="5"/>
  <c r="M37" i="5"/>
  <c r="L37" i="5"/>
  <c r="K37" i="5"/>
  <c r="L36" i="5"/>
  <c r="K36" i="5"/>
  <c r="K35" i="5"/>
  <c r="M34" i="5"/>
  <c r="L34" i="5"/>
  <c r="K34" i="5"/>
  <c r="M33" i="5"/>
  <c r="L33" i="5"/>
  <c r="K33" i="5"/>
  <c r="M32" i="5"/>
  <c r="L32" i="5"/>
  <c r="K32" i="5"/>
  <c r="M31" i="5"/>
  <c r="L31" i="5"/>
  <c r="K31" i="5"/>
  <c r="M30" i="5"/>
  <c r="L30" i="5"/>
  <c r="K30" i="5"/>
  <c r="E30" i="5"/>
  <c r="D30" i="5"/>
  <c r="E29" i="5"/>
  <c r="D29" i="5"/>
  <c r="C29" i="5"/>
  <c r="M28" i="5"/>
  <c r="L28" i="5"/>
  <c r="M27" i="5"/>
  <c r="L27" i="5"/>
  <c r="K27" i="5"/>
  <c r="E27" i="5"/>
  <c r="D27" i="5"/>
  <c r="C27" i="5"/>
  <c r="M26" i="5"/>
  <c r="L26" i="5"/>
  <c r="K26" i="5"/>
  <c r="K23" i="5" s="1"/>
  <c r="E26" i="5"/>
  <c r="D26" i="5"/>
  <c r="C26" i="5"/>
  <c r="M25" i="5"/>
  <c r="L25" i="5"/>
  <c r="K25" i="5"/>
  <c r="E25" i="5"/>
  <c r="D25" i="5"/>
  <c r="L24" i="5"/>
  <c r="D24" i="5"/>
  <c r="M23" i="5"/>
  <c r="L23" i="5"/>
  <c r="E23" i="5"/>
  <c r="D23" i="5"/>
  <c r="C23" i="5"/>
  <c r="M22" i="5"/>
  <c r="M24" i="5" s="1"/>
  <c r="L22" i="5"/>
  <c r="K22" i="5"/>
  <c r="E22" i="5"/>
  <c r="D22" i="5"/>
  <c r="C22" i="5"/>
  <c r="L21" i="5"/>
  <c r="K21" i="5"/>
  <c r="E20" i="5"/>
  <c r="D20" i="5"/>
  <c r="C20" i="5"/>
  <c r="E19" i="5"/>
  <c r="D19" i="5"/>
  <c r="C19" i="5"/>
  <c r="K18" i="5"/>
  <c r="E18" i="5"/>
  <c r="D18" i="5"/>
  <c r="C18" i="5"/>
  <c r="K17" i="5"/>
  <c r="L14" i="5"/>
  <c r="K14" i="5"/>
  <c r="M13" i="5"/>
  <c r="E12" i="5"/>
  <c r="D12" i="5"/>
  <c r="C12" i="5"/>
  <c r="L11" i="5"/>
  <c r="K11" i="5"/>
  <c r="L10" i="5"/>
  <c r="K10" i="5"/>
  <c r="M8" i="5"/>
  <c r="L8" i="5"/>
  <c r="K8" i="5"/>
  <c r="M7" i="5"/>
  <c r="M9" i="5" s="1"/>
  <c r="L7" i="5"/>
  <c r="L9" i="5" s="1"/>
  <c r="K7" i="5"/>
  <c r="K9" i="5" s="1"/>
  <c r="E6" i="5"/>
  <c r="D6" i="5"/>
  <c r="C6" i="5"/>
  <c r="E5" i="5"/>
  <c r="D5" i="5"/>
  <c r="D4" i="5" s="1"/>
  <c r="C5" i="5"/>
  <c r="C4" i="5" s="1"/>
  <c r="L4" i="5"/>
  <c r="K4" i="5"/>
  <c r="E4" i="5"/>
  <c r="E8" i="5" s="1"/>
  <c r="M44" i="6" l="1"/>
  <c r="M46" i="6" s="1"/>
  <c r="K45" i="6"/>
  <c r="L45" i="6"/>
  <c r="L44" i="6"/>
  <c r="L46" i="6" s="1"/>
  <c r="U44" i="6"/>
  <c r="U45" i="6"/>
  <c r="T39" i="6"/>
  <c r="T40" i="6" s="1"/>
  <c r="V44" i="6"/>
  <c r="V46" i="6" s="1"/>
  <c r="V45" i="6"/>
  <c r="K4" i="3"/>
  <c r="C24" i="5"/>
  <c r="C30" i="5"/>
  <c r="E9" i="5"/>
  <c r="E10" i="5"/>
  <c r="E15" i="5" s="1"/>
  <c r="E16" i="5" s="1"/>
  <c r="E14" i="5"/>
  <c r="E24" i="5"/>
  <c r="C8" i="5"/>
  <c r="D8" i="5"/>
  <c r="E25" i="3"/>
  <c r="D25" i="3"/>
  <c r="D24" i="3"/>
  <c r="D23" i="3"/>
  <c r="D6" i="3"/>
  <c r="E6" i="3"/>
  <c r="C6" i="3"/>
  <c r="E29" i="3"/>
  <c r="D29" i="3"/>
  <c r="E30" i="3"/>
  <c r="D30" i="3"/>
  <c r="C29" i="3"/>
  <c r="C23" i="3"/>
  <c r="E27" i="3"/>
  <c r="E26" i="3"/>
  <c r="E23" i="3"/>
  <c r="E22" i="3"/>
  <c r="E20" i="3"/>
  <c r="E19" i="3"/>
  <c r="E12" i="3"/>
  <c r="E4" i="3"/>
  <c r="E24" i="3" s="1"/>
  <c r="D27" i="3"/>
  <c r="D26" i="3"/>
  <c r="D22" i="3"/>
  <c r="D20" i="3"/>
  <c r="D19" i="3"/>
  <c r="D12" i="3"/>
  <c r="D4" i="3"/>
  <c r="C27" i="3"/>
  <c r="C26" i="3"/>
  <c r="C22" i="3"/>
  <c r="C20" i="3"/>
  <c r="C19" i="3"/>
  <c r="C30" i="3"/>
  <c r="K46" i="6" l="1"/>
  <c r="T45" i="6"/>
  <c r="T44" i="6"/>
  <c r="T46" i="6" s="1"/>
  <c r="U46" i="6"/>
  <c r="D10" i="5"/>
  <c r="D9" i="5"/>
  <c r="C9" i="5"/>
  <c r="C10" i="5" s="1"/>
  <c r="E8" i="3"/>
  <c r="E9" i="3" s="1"/>
  <c r="D8" i="3"/>
  <c r="D9" i="3" s="1"/>
  <c r="D10" i="3" s="1"/>
  <c r="C24" i="3"/>
  <c r="C9" i="3"/>
  <c r="C10" i="3" s="1"/>
  <c r="C15" i="3" s="1"/>
  <c r="C15" i="5" l="1"/>
  <c r="C16" i="5" s="1"/>
  <c r="C14" i="5"/>
  <c r="D15" i="5"/>
  <c r="D16" i="5" s="1"/>
  <c r="D14" i="5"/>
  <c r="E10" i="3"/>
  <c r="D15" i="3"/>
  <c r="D14" i="3"/>
  <c r="C14" i="3"/>
  <c r="C16" i="3" s="1"/>
  <c r="E15" i="3" l="1"/>
  <c r="E14" i="3"/>
</calcChain>
</file>

<file path=xl/sharedStrings.xml><?xml version="1.0" encoding="utf-8"?>
<sst xmlns="http://schemas.openxmlformats.org/spreadsheetml/2006/main" count="1512" uniqueCount="302">
  <si>
    <t>Parameter</t>
  </si>
  <si>
    <t>symbol</t>
  </si>
  <si>
    <t>value</t>
  </si>
  <si>
    <t>unit</t>
  </si>
  <si>
    <t>type of variable?</t>
  </si>
  <si>
    <t>assumptions/explanations</t>
  </si>
  <si>
    <t>Wingspan</t>
  </si>
  <si>
    <t>b</t>
  </si>
  <si>
    <t>m</t>
  </si>
  <si>
    <t>DATCOM aero</t>
  </si>
  <si>
    <t>Wing area</t>
  </si>
  <si>
    <t>S</t>
  </si>
  <si>
    <t>m2</t>
  </si>
  <si>
    <t>b/2*cr*(lambda+1)</t>
  </si>
  <si>
    <t>trapezium shaped wings</t>
  </si>
  <si>
    <t>aspect ratio</t>
  </si>
  <si>
    <t>AR</t>
  </si>
  <si>
    <t>-</t>
  </si>
  <si>
    <t>taper ratio</t>
  </si>
  <si>
    <t>lambda</t>
  </si>
  <si>
    <t>ct/cr</t>
  </si>
  <si>
    <t>root chord</t>
  </si>
  <si>
    <t>cr</t>
  </si>
  <si>
    <t>c(x) = cr*(1-((1-lambda)/(b/2))*x)</t>
  </si>
  <si>
    <t>starting from root</t>
  </si>
  <si>
    <t>tip chord</t>
  </si>
  <si>
    <t>ct</t>
  </si>
  <si>
    <t>avg geometric chord</t>
  </si>
  <si>
    <t>cavg</t>
  </si>
  <si>
    <t>thickness to chord ratio</t>
  </si>
  <si>
    <t>hc?</t>
  </si>
  <si>
    <t>supercritical airfoil is usually quite slender/thin</t>
  </si>
  <si>
    <t>front spar location</t>
  </si>
  <si>
    <t>x/c</t>
  </si>
  <si>
    <t>DATCOM aero but we can change this?</t>
  </si>
  <si>
    <t>From Raymer: this can vary from 20-30%</t>
  </si>
  <si>
    <t>rear spar location</t>
  </si>
  <si>
    <t>From Raymer: this can vary from 60-75%</t>
  </si>
  <si>
    <t>wingbox width avg</t>
  </si>
  <si>
    <t>w</t>
  </si>
  <si>
    <t>VARIES ALONG SPAN</t>
  </si>
  <si>
    <t>height</t>
  </si>
  <si>
    <t>h</t>
  </si>
  <si>
    <t>Wing volume available</t>
  </si>
  <si>
    <t>V</t>
  </si>
  <si>
    <t>m3</t>
  </si>
  <si>
    <t>Depends on if fuel needed in wing, if this is the case some parameters might need to be adjusted for fuel to fit</t>
  </si>
  <si>
    <t>Sweep</t>
  </si>
  <si>
    <t>we ignore sweep?</t>
  </si>
  <si>
    <t>Divide wing in sections</t>
  </si>
  <si>
    <t>material yield stress</t>
  </si>
  <si>
    <t>safety factor for material</t>
  </si>
  <si>
    <t>safety factor loads</t>
  </si>
  <si>
    <t>mass fuel</t>
  </si>
  <si>
    <t>N</t>
  </si>
  <si>
    <t>Pa</t>
  </si>
  <si>
    <t>kg</t>
  </si>
  <si>
    <t>In order that the structure is well below the yield strength</t>
  </si>
  <si>
    <t>Measured from the middle of the fuselage</t>
  </si>
  <si>
    <t>cabin altitude</t>
  </si>
  <si>
    <t>hcabin</t>
  </si>
  <si>
    <t>Maximum should be 3000 m but its better for passengers if its lower</t>
  </si>
  <si>
    <t>cruise altitude</t>
  </si>
  <si>
    <t>hcruise</t>
  </si>
  <si>
    <t>8900 min req but change if we get new value from performance</t>
  </si>
  <si>
    <t>cabin pressure</t>
  </si>
  <si>
    <t>pcabin</t>
  </si>
  <si>
    <t>outside pressure</t>
  </si>
  <si>
    <t>pair</t>
  </si>
  <si>
    <t>pressure diff</t>
  </si>
  <si>
    <t>delta p</t>
  </si>
  <si>
    <t>diameter top</t>
  </si>
  <si>
    <t>d1</t>
  </si>
  <si>
    <t>double bubble config top cylinder with tank
BURNING H2</t>
  </si>
  <si>
    <t>diameter bottom</t>
  </si>
  <si>
    <t>d2</t>
  </si>
  <si>
    <t>double bubble config bottom cylinder cabin</t>
  </si>
  <si>
    <t>beam length</t>
  </si>
  <si>
    <t>lbeam</t>
  </si>
  <si>
    <t>from circle chord calculator (r=1.6 from d2 and height of segment =0.2m from the cabin and cargo space requirements</t>
  </si>
  <si>
    <t>diameter fuselage</t>
  </si>
  <si>
    <t>dfus</t>
  </si>
  <si>
    <t>other normal configurations</t>
  </si>
  <si>
    <t>total fuselage height</t>
  </si>
  <si>
    <t>hfus</t>
  </si>
  <si>
    <t>DOUBLE BUBBLE CONFIG TOTAL HEIGHT</t>
  </si>
  <si>
    <t>Idk if we need this for anything but it's here just in case</t>
  </si>
  <si>
    <t>d1_fuelcelll</t>
  </si>
  <si>
    <t>for concept 3 fuel cells (just in case)</t>
  </si>
  <si>
    <t>this value comes from drawing made 
'to scale' which moves the top bubble
 down by 0.2m to keep space for people in cabin
but being able to add a beam between the two bubbles</t>
  </si>
  <si>
    <t>floor width (horizontally)</t>
  </si>
  <si>
    <t>wfloor</t>
  </si>
  <si>
    <t>for all configurations assuming it is located 1m from the bottom! so we get 2m of cabin height</t>
  </si>
  <si>
    <t>mass tank</t>
  </si>
  <si>
    <t>mass hydrogen</t>
  </si>
  <si>
    <t>mtank</t>
  </si>
  <si>
    <t>mfuel</t>
  </si>
  <si>
    <t>start tank</t>
  </si>
  <si>
    <t>end tank</t>
  </si>
  <si>
    <t>start_loc_tank</t>
  </si>
  <si>
    <t>end_loc_tank</t>
  </si>
  <si>
    <t>seat pitch</t>
  </si>
  <si>
    <t>pitch</t>
  </si>
  <si>
    <t>amount of rows seats</t>
  </si>
  <si>
    <t>seat_rows</t>
  </si>
  <si>
    <t>mass passenger + luggage</t>
  </si>
  <si>
    <t>mass_pax</t>
  </si>
  <si>
    <t>fuselage sections</t>
  </si>
  <si>
    <t>Used in python program</t>
  </si>
  <si>
    <t>Lift</t>
  </si>
  <si>
    <t>taken from Class I weight excel, sheet Class 1 WE hydrogen/biofuel</t>
  </si>
  <si>
    <t>https://www.easa.europa.eu/sites/default/files/dfu/CS-25%20Consolidated%20version.pdf</t>
  </si>
  <si>
    <t>seats abreast</t>
  </si>
  <si>
    <t>total pax</t>
  </si>
  <si>
    <t>Unit</t>
  </si>
  <si>
    <t>Remarks</t>
  </si>
  <si>
    <t>DONT INSERT NEW ROWS, ADD NEW VARIABLES AT THE BOTTOM!</t>
  </si>
  <si>
    <t>Requirement</t>
  </si>
  <si>
    <t>2000 Series: 2024 T6</t>
  </si>
  <si>
    <t>Total mass stored in the fuel, used for biofuel</t>
  </si>
  <si>
    <t>spar thickness</t>
  </si>
  <si>
    <t>material density</t>
  </si>
  <si>
    <t>material name</t>
  </si>
  <si>
    <t>kg/m^3</t>
  </si>
  <si>
    <t>mass engine 1</t>
  </si>
  <si>
    <t>location engine 1</t>
  </si>
  <si>
    <t>Dividing the half wing in more sections leads to a more precise analysis</t>
  </si>
  <si>
    <t>mass engine 2</t>
  </si>
  <si>
    <t>location engine 2</t>
  </si>
  <si>
    <t xml:space="preserve">turbofan engine clearance requirement ADSEE </t>
  </si>
  <si>
    <t>fuselage length</t>
  </si>
  <si>
    <t>fus_len</t>
  </si>
  <si>
    <t>start wing</t>
  </si>
  <si>
    <t>measured from the start of the fuselage</t>
  </si>
  <si>
    <t>Measured from the nose, start of the root chord</t>
  </si>
  <si>
    <t>mass fwd cargo</t>
  </si>
  <si>
    <t>mass_fwd_cargo</t>
  </si>
  <si>
    <t>total length of rows</t>
  </si>
  <si>
    <t>total_len_rows</t>
  </si>
  <si>
    <t>seat_abreast</t>
  </si>
  <si>
    <t>mass aft cargo</t>
  </si>
  <si>
    <t>mass_aft_cargo</t>
  </si>
  <si>
    <t>loc_fwd_cargo</t>
  </si>
  <si>
    <t>location fwd cargo</t>
  </si>
  <si>
    <t>location aft cargo</t>
  </si>
  <si>
    <t>loc_aft_cargo</t>
  </si>
  <si>
    <t>start_wing</t>
  </si>
  <si>
    <t>mass_engine</t>
  </si>
  <si>
    <t>mass engine</t>
  </si>
  <si>
    <t>location fuselage engine</t>
  </si>
  <si>
    <t>loc_engine</t>
  </si>
  <si>
    <t>mass of one engine that is attached to the fuselage</t>
  </si>
  <si>
    <t>mass fuselage</t>
  </si>
  <si>
    <t>mass_fus</t>
  </si>
  <si>
    <t>from class II weight estimation</t>
  </si>
  <si>
    <t>mass_wing</t>
  </si>
  <si>
    <t>width beam bubble</t>
  </si>
  <si>
    <t xml:space="preserve">Beam between bottom and top </t>
  </si>
  <si>
    <t>width_beam</t>
  </si>
  <si>
    <t>metal yield strength</t>
  </si>
  <si>
    <t>metal</t>
  </si>
  <si>
    <t>yes</t>
  </si>
  <si>
    <t>composite</t>
  </si>
  <si>
    <t>no</t>
  </si>
  <si>
    <t>metal name</t>
  </si>
  <si>
    <t>composite name</t>
  </si>
  <si>
    <t>composite ultimate strength</t>
  </si>
  <si>
    <t>T300 Carbon Sheet</t>
  </si>
  <si>
    <t>composite safety factor</t>
  </si>
  <si>
    <t>thickness beam</t>
  </si>
  <si>
    <t>thickness floor</t>
  </si>
  <si>
    <t>loc_floor_bottom</t>
  </si>
  <si>
    <t>metal density</t>
  </si>
  <si>
    <t>composite density</t>
  </si>
  <si>
    <t>composite symmetry plies</t>
  </si>
  <si>
    <t>loc_beam</t>
  </si>
  <si>
    <t>Concept 1</t>
  </si>
  <si>
    <t>Concept 2</t>
  </si>
  <si>
    <t>Concept 3</t>
  </si>
  <si>
    <t>WING</t>
  </si>
  <si>
    <t>Fuselage</t>
  </si>
  <si>
    <t xml:space="preserve">lift </t>
  </si>
  <si>
    <t>Materials</t>
  </si>
  <si>
    <t>Density</t>
  </si>
  <si>
    <t>Aluminium 2024 T6</t>
  </si>
  <si>
    <t>Yield strength</t>
  </si>
  <si>
    <t>Ultimate strength</t>
  </si>
  <si>
    <t>Safety factor composite</t>
  </si>
  <si>
    <t>Composite symmetry plies</t>
  </si>
  <si>
    <t>Reference</t>
  </si>
  <si>
    <t>https://matmatch.com/search?filters%5B0%5D%5Btype%5D=text&amp;filters%5B0%5D%5BfilterValue%5D=EN-AW-2014&amp;preview=MITF92</t>
  </si>
  <si>
    <t>https://matmatch.com/search?filters%5B0%5D%5Btype%5D=text&amp;filters%5B0%5D%5BfilterValue%5D=carbon%20prepreg&amp;preview=JINJ0001</t>
  </si>
  <si>
    <t>.</t>
  </si>
  <si>
    <t>from</t>
  </si>
  <si>
    <t>Aerodynamics</t>
  </si>
  <si>
    <t>Structures</t>
  </si>
  <si>
    <t>Propulsion</t>
  </si>
  <si>
    <t>Class I WE</t>
  </si>
  <si>
    <t>Loading diagram</t>
  </si>
  <si>
    <t>Class II WE</t>
  </si>
  <si>
    <t>Save excel sheet by pressing ctrl+s</t>
  </si>
  <si>
    <t>Run the Structural_analysis.py file</t>
  </si>
  <si>
    <r>
      <t xml:space="preserve">Change parameters in the </t>
    </r>
    <r>
      <rPr>
        <i/>
        <sz val="16"/>
        <color rgb="FF000000"/>
        <rFont val="Arial"/>
        <family val="2"/>
      </rPr>
      <t xml:space="preserve">Input parameters </t>
    </r>
    <r>
      <rPr>
        <sz val="16"/>
        <color rgb="FF000000"/>
        <rFont val="Arial"/>
        <family val="2"/>
      </rPr>
      <t>sheet</t>
    </r>
  </si>
  <si>
    <r>
      <t xml:space="preserve">Paste column in the </t>
    </r>
    <r>
      <rPr>
        <i/>
        <sz val="16"/>
        <color rgb="FF000000"/>
        <rFont val="Arial"/>
        <family val="2"/>
      </rPr>
      <t>value</t>
    </r>
    <r>
      <rPr>
        <sz val="16"/>
        <color rgb="FF000000"/>
        <rFont val="Arial"/>
        <family val="2"/>
      </rPr>
      <t xml:space="preserve"> column of either the </t>
    </r>
    <r>
      <rPr>
        <i/>
        <sz val="16"/>
        <color rgb="FF000000"/>
        <rFont val="Arial"/>
        <family val="2"/>
      </rPr>
      <t xml:space="preserve">wing </t>
    </r>
    <r>
      <rPr>
        <sz val="16"/>
        <color rgb="FF000000"/>
        <rFont val="Arial"/>
        <family val="2"/>
      </rPr>
      <t xml:space="preserve"> or </t>
    </r>
    <r>
      <rPr>
        <i/>
        <sz val="16"/>
        <color rgb="FF000000"/>
        <rFont val="Arial"/>
        <family val="2"/>
      </rPr>
      <t>fuselage</t>
    </r>
    <r>
      <rPr>
        <sz val="16"/>
        <color rgb="FF000000"/>
        <rFont val="Arial"/>
        <family val="2"/>
      </rPr>
      <t xml:space="preserve"> sheet</t>
    </r>
  </si>
  <si>
    <r>
      <t xml:space="preserve">Copy the </t>
    </r>
    <r>
      <rPr>
        <i/>
        <sz val="16"/>
        <color rgb="FF000000"/>
        <rFont val="Arial"/>
        <family val="2"/>
      </rPr>
      <t>values</t>
    </r>
    <r>
      <rPr>
        <sz val="16"/>
        <color rgb="FF000000"/>
        <rFont val="Arial"/>
        <family val="2"/>
      </rPr>
      <t xml:space="preserve"> column of for instance </t>
    </r>
    <r>
      <rPr>
        <i/>
        <sz val="16"/>
        <color rgb="FF000000"/>
        <rFont val="Arial"/>
        <family val="2"/>
      </rPr>
      <t>Wing concept 1</t>
    </r>
  </si>
  <si>
    <t>Type material</t>
  </si>
  <si>
    <t>Required skin thickness [mm]</t>
  </si>
  <si>
    <t>Required spar thickness [mm]</t>
  </si>
  <si>
    <t>Wing weight [kg]</t>
  </si>
  <si>
    <t>T300 Carbon fiber sheet</t>
  </si>
  <si>
    <t>GLARE</t>
  </si>
  <si>
    <t>safety factor for composite</t>
  </si>
  <si>
    <t>Wing results</t>
  </si>
  <si>
    <t>Required floor thickness [mm]</t>
  </si>
  <si>
    <t>Fuselage weight [kg]</t>
  </si>
  <si>
    <t>Fuselage results</t>
  </si>
  <si>
    <t>Includes the landing gear, engines, fuel and wing weight</t>
  </si>
  <si>
    <t>wing mass</t>
  </si>
  <si>
    <t>landing gear mass</t>
  </si>
  <si>
    <t>location landing gear</t>
  </si>
  <si>
    <t>from class II WE</t>
  </si>
  <si>
    <t>mass nose gear</t>
  </si>
  <si>
    <t>loc nose gear</t>
  </si>
  <si>
    <t>Required thickness second floor [mm]</t>
  </si>
  <si>
    <t>Additional fuselage</t>
  </si>
  <si>
    <t>engines mass</t>
  </si>
  <si>
    <t>MLG mass</t>
  </si>
  <si>
    <t>biofuel mass</t>
  </si>
  <si>
    <t>fuselage wing mass</t>
  </si>
  <si>
    <t>From</t>
  </si>
  <si>
    <t>material</t>
  </si>
  <si>
    <t>geometry wing</t>
  </si>
  <si>
    <t>geometry fuselage</t>
  </si>
  <si>
    <t>Wmlg</t>
  </si>
  <si>
    <t>Weng</t>
  </si>
  <si>
    <t>Wwing</t>
  </si>
  <si>
    <t>Wfuel</t>
  </si>
  <si>
    <t>wing</t>
  </si>
  <si>
    <t>loads &amp; locations</t>
  </si>
  <si>
    <t>fuselage</t>
  </si>
  <si>
    <t>L</t>
  </si>
  <si>
    <t>[N]</t>
  </si>
  <si>
    <t>[kg]</t>
  </si>
  <si>
    <t>[m]</t>
  </si>
  <si>
    <t>Class II weight estimation</t>
  </si>
  <si>
    <t>Class I weight estimation</t>
  </si>
  <si>
    <t>Stability</t>
  </si>
  <si>
    <t>Safety factor</t>
  </si>
  <si>
    <t>[-]</t>
  </si>
  <si>
    <t>Wng</t>
  </si>
  <si>
    <t xml:space="preserve">Concept 1 </t>
  </si>
  <si>
    <t xml:space="preserve">Concept 2 </t>
  </si>
  <si>
    <t xml:space="preserve">Concept 3 </t>
  </si>
  <si>
    <t>ygear</t>
  </si>
  <si>
    <t>yeng1</t>
  </si>
  <si>
    <t>yeng2</t>
  </si>
  <si>
    <t>Wcargo fwd</t>
  </si>
  <si>
    <t>Wpayload</t>
  </si>
  <si>
    <t>Wfuselage</t>
  </si>
  <si>
    <t>Wwing total</t>
  </si>
  <si>
    <t>Wcargo aft</t>
  </si>
  <si>
    <t>Wengines</t>
  </si>
  <si>
    <t>xng</t>
  </si>
  <si>
    <t>xcargo fwd</t>
  </si>
  <si>
    <t>xwing total</t>
  </si>
  <si>
    <t>xcargo aft</t>
  </si>
  <si>
    <t>xengines</t>
  </si>
  <si>
    <t>Wpax</t>
  </si>
  <si>
    <t>Class II weight estimation / Propulsion</t>
  </si>
  <si>
    <t>wing geometry</t>
  </si>
  <si>
    <t>(t/c)max</t>
  </si>
  <si>
    <t>A</t>
  </si>
  <si>
    <t>Front spar location</t>
  </si>
  <si>
    <t>Rear spar location</t>
  </si>
  <si>
    <t xml:space="preserve">Width </t>
  </si>
  <si>
    <t>Height</t>
  </si>
  <si>
    <t>Volume</t>
  </si>
  <si>
    <t>Wing sections</t>
  </si>
  <si>
    <t>[m^3]</t>
  </si>
  <si>
    <t>[m^2]</t>
  </si>
  <si>
    <t>fuselage geometry</t>
  </si>
  <si>
    <t>Fuselage length</t>
  </si>
  <si>
    <t>Fuselage diameter</t>
  </si>
  <si>
    <t>Double bubble top diameter</t>
  </si>
  <si>
    <t>Double bubble height</t>
  </si>
  <si>
    <t>Floor 1 width</t>
  </si>
  <si>
    <t>Floor 2 width</t>
  </si>
  <si>
    <t>Seat pitch</t>
  </si>
  <si>
    <t>Seats abreast</t>
  </si>
  <si>
    <t>Start tank</t>
  </si>
  <si>
    <t>End tank</t>
  </si>
  <si>
    <t>Fuselage sections</t>
  </si>
  <si>
    <t>[MPa]</t>
  </si>
  <si>
    <t>[kg/m^3]</t>
  </si>
  <si>
    <t xml:space="preserve">T300 Carbon </t>
  </si>
  <si>
    <t>Aluminium 2024 T3</t>
  </si>
  <si>
    <t>T800 Carbon</t>
  </si>
  <si>
    <t>Glare 2</t>
  </si>
  <si>
    <t>Glare 4</t>
  </si>
  <si>
    <t>GLARE 2</t>
  </si>
  <si>
    <t>Fatigue 2*Sa</t>
  </si>
  <si>
    <t>% of yield/ult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</si>
</sst>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i/>
      <sz val="11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sz val="16"/>
      <color rgb="FF000000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i/>
      <sz val="16"/>
      <color rgb="FF000000"/>
      <name val="Arial"/>
      <family val="2"/>
    </font>
    <font>
      <sz val="10"/>
      <color rgb="FFDCDDDE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7E1CD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9CB9C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0" fontId="2" fillId="0" borderId="0" xfId="0" applyFont="1"/>
    <xf numFmtId="0" fontId="0" fillId="0" borderId="0" xfId="0"/>
    <xf numFmtId="0" fontId="4" fillId="0" borderId="0" xfId="0" applyFont="1"/>
    <xf numFmtId="0" fontId="5" fillId="0" borderId="0" xfId="0" applyFont="1"/>
    <xf numFmtId="0" fontId="3" fillId="6" borderId="0" xfId="0" applyFont="1" applyFill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2" fillId="0" borderId="0" xfId="0" applyFont="1" applyFill="1" applyBorder="1"/>
    <xf numFmtId="0" fontId="0" fillId="7" borderId="0" xfId="0" applyFill="1"/>
    <xf numFmtId="0" fontId="7" fillId="7" borderId="0" xfId="0" applyFont="1" applyFill="1"/>
    <xf numFmtId="0" fontId="2" fillId="8" borderId="0" xfId="0" applyFont="1" applyFill="1" applyBorder="1"/>
    <xf numFmtId="0" fontId="6" fillId="0" borderId="0" xfId="0" applyFont="1" applyAlignment="1"/>
    <xf numFmtId="0" fontId="0" fillId="8" borderId="0" xfId="0" applyFill="1"/>
    <xf numFmtId="0" fontId="8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/>
    <xf numFmtId="0" fontId="11" fillId="0" borderId="0" xfId="0" applyFont="1"/>
    <xf numFmtId="0" fontId="6" fillId="10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2" fillId="15" borderId="0" xfId="0" applyFont="1" applyFill="1" applyAlignment="1"/>
    <xf numFmtId="0" fontId="0" fillId="15" borderId="0" xfId="0" applyFont="1" applyFill="1" applyAlignment="1"/>
    <xf numFmtId="0" fontId="1" fillId="15" borderId="0" xfId="0" applyFont="1" applyFill="1" applyAlignment="1"/>
    <xf numFmtId="0" fontId="0" fillId="14" borderId="0" xfId="0" applyFill="1"/>
    <xf numFmtId="0" fontId="2" fillId="14" borderId="0" xfId="0" applyFont="1" applyFill="1"/>
    <xf numFmtId="0" fontId="2" fillId="14" borderId="0" xfId="0" applyFont="1" applyFill="1" applyBorder="1"/>
    <xf numFmtId="0" fontId="1" fillId="10" borderId="2" xfId="0" applyFont="1" applyFill="1" applyBorder="1"/>
    <xf numFmtId="0" fontId="1" fillId="0" borderId="2" xfId="0" applyFont="1" applyBorder="1"/>
    <xf numFmtId="0" fontId="1" fillId="11" borderId="2" xfId="0" applyFont="1" applyFill="1" applyBorder="1" applyAlignment="1"/>
    <xf numFmtId="0" fontId="1" fillId="2" borderId="2" xfId="0" applyFont="1" applyFill="1" applyBorder="1" applyAlignment="1"/>
    <xf numFmtId="0" fontId="1" fillId="12" borderId="2" xfId="0" applyFont="1" applyFill="1" applyBorder="1"/>
    <xf numFmtId="0" fontId="1" fillId="11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 applyAlignment="1"/>
    <xf numFmtId="0" fontId="1" fillId="0" borderId="2" xfId="0" applyFont="1" applyBorder="1" applyAlignment="1"/>
    <xf numFmtId="0" fontId="0" fillId="10" borderId="2" xfId="0" applyFont="1" applyFill="1" applyBorder="1" applyAlignment="1"/>
    <xf numFmtId="0" fontId="0" fillId="13" borderId="2" xfId="0" applyFont="1" applyFill="1" applyBorder="1" applyAlignment="1"/>
    <xf numFmtId="0" fontId="0" fillId="0" borderId="2" xfId="0" applyFont="1" applyBorder="1" applyAlignment="1"/>
    <xf numFmtId="0" fontId="6" fillId="10" borderId="2" xfId="0" applyFont="1" applyFill="1" applyBorder="1" applyAlignment="1"/>
    <xf numFmtId="0" fontId="6" fillId="13" borderId="2" xfId="0" applyFont="1" applyFill="1" applyBorder="1" applyAlignment="1"/>
    <xf numFmtId="0" fontId="6" fillId="0" borderId="3" xfId="0" applyFont="1" applyBorder="1" applyAlignment="1">
      <alignment wrapText="1"/>
    </xf>
    <xf numFmtId="0" fontId="6" fillId="14" borderId="4" xfId="0" applyFont="1" applyFill="1" applyBorder="1" applyAlignment="1">
      <alignment wrapText="1"/>
    </xf>
    <xf numFmtId="0" fontId="0" fillId="10" borderId="2" xfId="0" applyFill="1" applyBorder="1"/>
    <xf numFmtId="0" fontId="2" fillId="10" borderId="2" xfId="0" applyFont="1" applyFill="1" applyBorder="1"/>
    <xf numFmtId="0" fontId="4" fillId="10" borderId="2" xfId="0" applyFont="1" applyFill="1" applyBorder="1"/>
    <xf numFmtId="0" fontId="2" fillId="16" borderId="2" xfId="0" applyFont="1" applyFill="1" applyBorder="1"/>
    <xf numFmtId="0" fontId="6" fillId="10" borderId="2" xfId="0" applyFont="1" applyFill="1" applyBorder="1" applyAlignment="1">
      <alignment horizontal="right" wrapText="1"/>
    </xf>
    <xf numFmtId="0" fontId="0" fillId="0" borderId="2" xfId="0" applyBorder="1"/>
    <xf numFmtId="0" fontId="0" fillId="13" borderId="2" xfId="0" applyFill="1" applyBorder="1"/>
    <xf numFmtId="0" fontId="6" fillId="15" borderId="0" xfId="0" applyFont="1" applyFill="1" applyAlignment="1"/>
    <xf numFmtId="0" fontId="9" fillId="0" borderId="0" xfId="0" applyFont="1" applyAlignment="1"/>
    <xf numFmtId="0" fontId="0" fillId="0" borderId="0" xfId="0" applyFont="1" applyBorder="1" applyAlignment="1"/>
    <xf numFmtId="0" fontId="2" fillId="0" borderId="0" xfId="0" applyFont="1" applyAlignment="1"/>
    <xf numFmtId="0" fontId="8" fillId="0" borderId="0" xfId="0" applyFont="1"/>
    <xf numFmtId="0" fontId="6" fillId="14" borderId="0" xfId="0" applyFont="1" applyFill="1" applyAlignment="1"/>
    <xf numFmtId="0" fontId="2" fillId="14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8" borderId="2" xfId="0" applyFill="1" applyBorder="1"/>
    <xf numFmtId="0" fontId="6" fillId="10" borderId="1" xfId="0" applyFont="1" applyFill="1" applyBorder="1" applyAlignment="1">
      <alignment horizontal="right" wrapText="1"/>
    </xf>
    <xf numFmtId="0" fontId="1" fillId="8" borderId="2" xfId="0" applyFont="1" applyFill="1" applyBorder="1"/>
    <xf numFmtId="0" fontId="2" fillId="5" borderId="2" xfId="0" applyFont="1" applyFill="1" applyBorder="1" applyAlignment="1"/>
    <xf numFmtId="0" fontId="0" fillId="18" borderId="2" xfId="0" applyFont="1" applyFill="1" applyBorder="1" applyAlignment="1"/>
    <xf numFmtId="0" fontId="0" fillId="18" borderId="2" xfId="0" applyFill="1" applyBorder="1"/>
    <xf numFmtId="0" fontId="0" fillId="10" borderId="0" xfId="0" applyFont="1" applyFill="1" applyAlignment="1"/>
    <xf numFmtId="0" fontId="0" fillId="19" borderId="0" xfId="0" applyFont="1" applyFill="1" applyAlignment="1"/>
    <xf numFmtId="0" fontId="6" fillId="13" borderId="2" xfId="0" applyFont="1" applyFill="1" applyBorder="1"/>
    <xf numFmtId="1" fontId="0" fillId="0" borderId="0" xfId="0" applyNumberFormat="1" applyFont="1" applyAlignment="1"/>
    <xf numFmtId="0" fontId="6" fillId="8" borderId="1" xfId="0" applyFont="1" applyFill="1" applyBorder="1" applyAlignment="1">
      <alignment horizontal="right" wrapText="1"/>
    </xf>
    <xf numFmtId="0" fontId="0" fillId="8" borderId="2" xfId="0" applyFont="1" applyFill="1" applyBorder="1" applyAlignment="1"/>
    <xf numFmtId="0" fontId="0" fillId="8" borderId="0" xfId="0" applyFont="1" applyFill="1" applyAlignment="1"/>
    <xf numFmtId="0" fontId="8" fillId="0" borderId="0" xfId="0" applyFont="1" applyBorder="1" applyAlignment="1"/>
    <xf numFmtId="0" fontId="6" fillId="0" borderId="0" xfId="0" applyFont="1" applyBorder="1" applyAlignment="1"/>
    <xf numFmtId="0" fontId="6" fillId="8" borderId="0" xfId="0" applyFont="1" applyFill="1" applyBorder="1" applyAlignment="1">
      <alignment horizontal="right" wrapText="1"/>
    </xf>
    <xf numFmtId="0" fontId="0" fillId="8" borderId="0" xfId="0" applyFont="1" applyFill="1" applyBorder="1" applyAlignment="1"/>
    <xf numFmtId="1" fontId="6" fillId="8" borderId="0" xfId="0" applyNumberFormat="1" applyFont="1" applyFill="1" applyBorder="1" applyAlignment="1"/>
    <xf numFmtId="2" fontId="0" fillId="8" borderId="0" xfId="0" applyNumberFormat="1" applyFont="1" applyFill="1" applyBorder="1" applyAlignment="1"/>
    <xf numFmtId="2" fontId="0" fillId="0" borderId="0" xfId="0" applyNumberFormat="1" applyFont="1" applyBorder="1" applyAlignment="1"/>
    <xf numFmtId="1" fontId="0" fillId="8" borderId="0" xfId="0" applyNumberFormat="1" applyFont="1" applyFill="1" applyBorder="1" applyAlignment="1"/>
    <xf numFmtId="1" fontId="0" fillId="0" borderId="0" xfId="0" applyNumberFormat="1" applyFont="1" applyBorder="1" applyAlignment="1"/>
    <xf numFmtId="0" fontId="6" fillId="0" borderId="0" xfId="0" applyFont="1" applyFill="1" applyBorder="1" applyAlignment="1"/>
    <xf numFmtId="1" fontId="0" fillId="8" borderId="0" xfId="0" applyNumberFormat="1" applyFont="1" applyFill="1" applyAlignment="1"/>
    <xf numFmtId="1" fontId="0" fillId="8" borderId="2" xfId="0" applyNumberFormat="1" applyFill="1" applyBorder="1"/>
    <xf numFmtId="0" fontId="2" fillId="0" borderId="0" xfId="0" applyFont="1" applyFill="1" applyBorder="1" applyAlignment="1"/>
    <xf numFmtId="165" fontId="1" fillId="8" borderId="2" xfId="0" applyNumberFormat="1" applyFont="1" applyFill="1" applyBorder="1"/>
    <xf numFmtId="2" fontId="1" fillId="8" borderId="2" xfId="0" applyNumberFormat="1" applyFont="1" applyFill="1" applyBorder="1"/>
    <xf numFmtId="0" fontId="2" fillId="8" borderId="0" xfId="0" applyFont="1" applyFill="1" applyAlignment="1"/>
    <xf numFmtId="0" fontId="1" fillId="20" borderId="2" xfId="0" applyFont="1" applyFill="1" applyBorder="1" applyAlignment="1"/>
    <xf numFmtId="2" fontId="1" fillId="21" borderId="2" xfId="0" applyNumberFormat="1" applyFont="1" applyFill="1" applyBorder="1"/>
    <xf numFmtId="2" fontId="1" fillId="22" borderId="2" xfId="0" applyNumberFormat="1" applyFont="1" applyFill="1" applyBorder="1"/>
    <xf numFmtId="164" fontId="2" fillId="23" borderId="2" xfId="0" applyNumberFormat="1" applyFont="1" applyFill="1" applyBorder="1" applyAlignment="1"/>
    <xf numFmtId="0" fontId="6" fillId="13" borderId="0" xfId="0" applyFont="1" applyFill="1" applyBorder="1" applyAlignment="1"/>
    <xf numFmtId="0" fontId="6" fillId="13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0" fillId="0" borderId="0" xfId="0" applyFont="1" applyAlignment="1"/>
    <xf numFmtId="0" fontId="6" fillId="0" borderId="0" xfId="0" applyFont="1" applyAlignment="1"/>
    <xf numFmtId="0" fontId="0" fillId="13" borderId="2" xfId="0" applyFont="1" applyFill="1" applyBorder="1" applyAlignment="1"/>
    <xf numFmtId="0" fontId="6" fillId="13" borderId="2" xfId="0" applyFont="1" applyFill="1" applyBorder="1" applyAlignment="1"/>
    <xf numFmtId="0" fontId="0" fillId="0" borderId="0" xfId="0" applyFont="1" applyAlignment="1"/>
    <xf numFmtId="0" fontId="6" fillId="0" borderId="0" xfId="0" applyFont="1" applyAlignment="1"/>
    <xf numFmtId="0" fontId="0" fillId="13" borderId="2" xfId="0" applyFont="1" applyFill="1" applyBorder="1" applyAlignment="1"/>
    <xf numFmtId="0" fontId="6" fillId="13" borderId="2" xfId="0" applyFont="1" applyFill="1" applyBorder="1" applyAlignment="1"/>
    <xf numFmtId="0" fontId="0" fillId="0" borderId="0" xfId="0" applyFont="1" applyAlignment="1"/>
    <xf numFmtId="0" fontId="6" fillId="0" borderId="0" xfId="0" applyFont="1" applyAlignment="1"/>
    <xf numFmtId="0" fontId="1" fillId="10" borderId="2" xfId="0" applyFont="1" applyFill="1" applyBorder="1"/>
    <xf numFmtId="0" fontId="1" fillId="11" borderId="2" xfId="0" applyFont="1" applyFill="1" applyBorder="1" applyAlignment="1"/>
    <xf numFmtId="0" fontId="1" fillId="12" borderId="2" xfId="0" applyFont="1" applyFill="1" applyBorder="1"/>
    <xf numFmtId="0" fontId="1" fillId="4" borderId="2" xfId="0" applyFont="1" applyFill="1" applyBorder="1"/>
    <xf numFmtId="0" fontId="1" fillId="0" borderId="2" xfId="0" applyFont="1" applyBorder="1" applyAlignment="1"/>
    <xf numFmtId="0" fontId="0" fillId="10" borderId="2" xfId="0" applyFont="1" applyFill="1" applyBorder="1" applyAlignment="1"/>
    <xf numFmtId="0" fontId="0" fillId="13" borderId="2" xfId="0" applyFont="1" applyFill="1" applyBorder="1" applyAlignment="1"/>
    <xf numFmtId="0" fontId="0" fillId="0" borderId="2" xfId="0" applyFont="1" applyBorder="1" applyAlignment="1"/>
    <xf numFmtId="0" fontId="6" fillId="13" borderId="2" xfId="0" applyFont="1" applyFill="1" applyBorder="1" applyAlignment="1"/>
    <xf numFmtId="0" fontId="0" fillId="0" borderId="0" xfId="0" applyFont="1" applyBorder="1" applyAlignment="1"/>
    <xf numFmtId="0" fontId="6" fillId="10" borderId="1" xfId="0" applyFont="1" applyFill="1" applyBorder="1" applyAlignment="1">
      <alignment horizontal="right" wrapText="1"/>
    </xf>
    <xf numFmtId="0" fontId="1" fillId="8" borderId="2" xfId="0" applyFont="1" applyFill="1" applyBorder="1"/>
    <xf numFmtId="0" fontId="2" fillId="5" borderId="2" xfId="0" applyFont="1" applyFill="1" applyBorder="1" applyAlignment="1"/>
    <xf numFmtId="0" fontId="0" fillId="18" borderId="2" xfId="0" applyFont="1" applyFill="1" applyBorder="1" applyAlignment="1"/>
    <xf numFmtId="0" fontId="9" fillId="13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0" xfId="0" applyFont="1" applyFill="1" applyAlignment="1">
      <alignment horizontal="center"/>
    </xf>
    <xf numFmtId="0" fontId="13" fillId="0" borderId="0" xfId="0" applyFont="1" applyAlignment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20-7E72-43D1-96D5-9164381AD0A6}">
  <dimension ref="A1:H5"/>
  <sheetViews>
    <sheetView workbookViewId="0">
      <selection activeCell="G12" sqref="G12"/>
    </sheetView>
  </sheetViews>
  <sheetFormatPr defaultRowHeight="13.2"/>
  <sheetData>
    <row r="1" spans="1:8" ht="20.399999999999999">
      <c r="A1" s="56">
        <v>1</v>
      </c>
      <c r="B1" s="56" t="s">
        <v>202</v>
      </c>
      <c r="C1" s="56"/>
      <c r="D1" s="56"/>
      <c r="E1" s="56"/>
      <c r="F1" s="56"/>
      <c r="G1" s="56"/>
      <c r="H1" s="56"/>
    </row>
    <row r="2" spans="1:8" ht="20.399999999999999">
      <c r="A2" s="56">
        <v>2</v>
      </c>
      <c r="B2" s="56" t="s">
        <v>204</v>
      </c>
      <c r="C2" s="56"/>
      <c r="D2" s="56"/>
      <c r="E2" s="56"/>
      <c r="F2" s="56"/>
      <c r="G2" s="56"/>
      <c r="H2" s="56"/>
    </row>
    <row r="3" spans="1:8" ht="20.399999999999999">
      <c r="A3" s="56">
        <v>3</v>
      </c>
      <c r="B3" s="56" t="s">
        <v>203</v>
      </c>
      <c r="C3" s="56"/>
      <c r="D3" s="56"/>
      <c r="E3" s="56"/>
      <c r="F3" s="56"/>
      <c r="G3" s="56"/>
      <c r="H3" s="56"/>
    </row>
    <row r="4" spans="1:8" ht="20.399999999999999">
      <c r="A4" s="56">
        <v>4</v>
      </c>
      <c r="B4" s="56" t="s">
        <v>200</v>
      </c>
      <c r="C4" s="56"/>
      <c r="D4" s="56"/>
      <c r="E4" s="56"/>
      <c r="F4" s="56"/>
      <c r="G4" s="56"/>
      <c r="H4" s="56"/>
    </row>
    <row r="5" spans="1:8" ht="20.399999999999999">
      <c r="A5" s="56">
        <v>5</v>
      </c>
      <c r="B5" s="56" t="s">
        <v>201</v>
      </c>
      <c r="C5" s="56"/>
      <c r="D5" s="56"/>
      <c r="E5" s="56"/>
      <c r="F5" s="56"/>
      <c r="G5" s="56"/>
      <c r="H5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5"/>
  <sheetViews>
    <sheetView topLeftCell="A7" workbookViewId="0">
      <selection activeCell="C25" sqref="C25"/>
    </sheetView>
  </sheetViews>
  <sheetFormatPr defaultColWidth="14.44140625" defaultRowHeight="15.75" customHeight="1"/>
  <cols>
    <col min="1" max="1" width="22.5546875" customWidth="1"/>
    <col min="5" max="5" width="33.33203125" customWidth="1"/>
  </cols>
  <sheetData>
    <row r="1" spans="1:13" ht="17.39999999999999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4" t="s">
        <v>116</v>
      </c>
      <c r="I1" s="13"/>
      <c r="J1" s="13"/>
      <c r="K1" s="13"/>
      <c r="L1" s="13"/>
      <c r="M1" s="13"/>
    </row>
    <row r="2" spans="1:13" ht="13.8" thickBot="1">
      <c r="A2" s="1" t="s">
        <v>6</v>
      </c>
      <c r="B2" s="1" t="s">
        <v>7</v>
      </c>
      <c r="C2" s="121">
        <f>SQRT(C3*C4)</f>
        <v>35.289403508702151</v>
      </c>
      <c r="D2" s="1" t="s">
        <v>8</v>
      </c>
      <c r="E2" s="1" t="s">
        <v>9</v>
      </c>
    </row>
    <row r="3" spans="1:13" ht="13.8" thickBot="1">
      <c r="A3" s="1" t="s">
        <v>10</v>
      </c>
      <c r="B3" s="1" t="s">
        <v>11</v>
      </c>
      <c r="C3" s="120">
        <v>125.16</v>
      </c>
      <c r="D3" s="1" t="s">
        <v>12</v>
      </c>
      <c r="E3" s="1" t="s">
        <v>9</v>
      </c>
      <c r="F3" s="1" t="s">
        <v>13</v>
      </c>
      <c r="H3" s="1" t="s">
        <v>14</v>
      </c>
    </row>
    <row r="4" spans="1:13" ht="13.2">
      <c r="A4" s="1" t="s">
        <v>15</v>
      </c>
      <c r="B4" s="1" t="s">
        <v>16</v>
      </c>
      <c r="C4" s="110">
        <f>9.95</f>
        <v>9.9499999999999993</v>
      </c>
      <c r="D4" s="1" t="s">
        <v>17</v>
      </c>
    </row>
    <row r="5" spans="1:13" ht="13.2">
      <c r="A5" s="1" t="s">
        <v>18</v>
      </c>
      <c r="B5" s="1" t="s">
        <v>19</v>
      </c>
      <c r="C5" s="111">
        <v>0.22</v>
      </c>
      <c r="D5" s="1" t="s">
        <v>17</v>
      </c>
      <c r="E5" s="1" t="s">
        <v>9</v>
      </c>
      <c r="F5" s="1" t="s">
        <v>20</v>
      </c>
    </row>
    <row r="6" spans="1:13" ht="13.2">
      <c r="A6" s="1" t="s">
        <v>21</v>
      </c>
      <c r="B6" s="1" t="s">
        <v>22</v>
      </c>
      <c r="C6" s="110">
        <f>(2*C3)/(C2*(C5+1))</f>
        <v>5.8142192122418912</v>
      </c>
      <c r="D6" s="1" t="s">
        <v>8</v>
      </c>
      <c r="F6" s="2" t="s">
        <v>23</v>
      </c>
      <c r="G6" s="3"/>
      <c r="H6" s="2" t="s">
        <v>24</v>
      </c>
    </row>
    <row r="7" spans="1:13" ht="13.2">
      <c r="A7" s="1" t="s">
        <v>25</v>
      </c>
      <c r="B7" s="1" t="s">
        <v>26</v>
      </c>
      <c r="C7" s="110">
        <f>C6*C5</f>
        <v>1.279128226693216</v>
      </c>
      <c r="D7" s="1" t="s">
        <v>8</v>
      </c>
    </row>
    <row r="8" spans="1:13" ht="13.8" thickBot="1">
      <c r="A8" s="1" t="s">
        <v>27</v>
      </c>
      <c r="B8" s="1" t="s">
        <v>28</v>
      </c>
      <c r="C8" s="112">
        <f>(C6+C7)/2</f>
        <v>3.5466737194675537</v>
      </c>
      <c r="D8" s="1" t="s">
        <v>8</v>
      </c>
      <c r="E8" s="1"/>
    </row>
    <row r="9" spans="1:13" ht="13.8" thickBot="1">
      <c r="A9" s="1" t="s">
        <v>29</v>
      </c>
      <c r="B9" s="1" t="s">
        <v>30</v>
      </c>
      <c r="C9" s="120">
        <v>0.124</v>
      </c>
      <c r="D9" s="1" t="s">
        <v>17</v>
      </c>
      <c r="E9" s="1" t="s">
        <v>9</v>
      </c>
      <c r="F9" s="1" t="s">
        <v>31</v>
      </c>
    </row>
    <row r="10" spans="1:13" ht="13.2">
      <c r="A10" s="1" t="s">
        <v>32</v>
      </c>
      <c r="C10" s="111">
        <f>0.25</f>
        <v>0.25</v>
      </c>
      <c r="D10" s="1" t="s">
        <v>33</v>
      </c>
      <c r="E10" s="1" t="s">
        <v>34</v>
      </c>
      <c r="F10" s="1" t="s">
        <v>35</v>
      </c>
    </row>
    <row r="11" spans="1:13" ht="13.2">
      <c r="A11" s="1" t="s">
        <v>36</v>
      </c>
      <c r="C11" s="111">
        <v>0.57999999999999996</v>
      </c>
      <c r="D11" s="1" t="s">
        <v>33</v>
      </c>
      <c r="E11" s="1" t="s">
        <v>34</v>
      </c>
      <c r="F11" s="1" t="s">
        <v>37</v>
      </c>
    </row>
    <row r="12" spans="1:13" ht="13.2">
      <c r="A12" s="1" t="s">
        <v>38</v>
      </c>
      <c r="B12" s="1" t="s">
        <v>39</v>
      </c>
      <c r="C12" s="113">
        <f>(C11-C10)*C8</f>
        <v>1.1704023274242925</v>
      </c>
      <c r="D12" s="1"/>
      <c r="E12" s="1" t="s">
        <v>40</v>
      </c>
    </row>
    <row r="13" spans="1:13" ht="13.2">
      <c r="A13" s="1" t="s">
        <v>41</v>
      </c>
      <c r="B13" s="1" t="s">
        <v>42</v>
      </c>
      <c r="C13" s="110">
        <f>C9*C8</f>
        <v>0.43978754121397667</v>
      </c>
      <c r="D13" s="1" t="s">
        <v>8</v>
      </c>
    </row>
    <row r="14" spans="1:13" ht="13.2">
      <c r="A14" s="1" t="s">
        <v>43</v>
      </c>
      <c r="B14" s="1" t="s">
        <v>44</v>
      </c>
      <c r="C14" s="122">
        <f>C12 * C13 * C2</f>
        <v>18.164456857252631</v>
      </c>
      <c r="D14" s="1" t="s">
        <v>45</v>
      </c>
      <c r="E14" s="1" t="s">
        <v>46</v>
      </c>
    </row>
    <row r="15" spans="1:13" ht="15.75" customHeight="1" thickBot="1">
      <c r="A15" s="1" t="s">
        <v>47</v>
      </c>
      <c r="B15" s="1" t="s">
        <v>17</v>
      </c>
      <c r="C15" s="114" t="s">
        <v>17</v>
      </c>
      <c r="D15" s="1" t="s">
        <v>17</v>
      </c>
      <c r="E15" s="1" t="s">
        <v>17</v>
      </c>
      <c r="F15" s="1" t="s">
        <v>48</v>
      </c>
    </row>
    <row r="16" spans="1:13" ht="15.75" customHeight="1" thickBot="1">
      <c r="A16" s="1" t="s">
        <v>109</v>
      </c>
      <c r="C16" s="120">
        <v>670642</v>
      </c>
      <c r="D16" s="1" t="s">
        <v>54</v>
      </c>
      <c r="E16" s="15"/>
      <c r="F16" s="17"/>
    </row>
    <row r="17" spans="1:12" ht="15.75" customHeight="1">
      <c r="A17" s="1" t="s">
        <v>49</v>
      </c>
      <c r="C17" s="115">
        <f>20</f>
        <v>20</v>
      </c>
      <c r="D17" s="1" t="s">
        <v>17</v>
      </c>
      <c r="F17" t="s">
        <v>126</v>
      </c>
    </row>
    <row r="18" spans="1:12" ht="15.75" customHeight="1">
      <c r="A18" s="1" t="s">
        <v>50</v>
      </c>
      <c r="C18" s="116">
        <f>H28</f>
        <v>345000000</v>
      </c>
      <c r="D18" s="1" t="s">
        <v>55</v>
      </c>
      <c r="E18" s="16" t="s">
        <v>118</v>
      </c>
    </row>
    <row r="19" spans="1:12" ht="15.75" customHeight="1">
      <c r="A19" s="58" t="s">
        <v>211</v>
      </c>
      <c r="C19" s="117">
        <f>0.6</f>
        <v>0.6</v>
      </c>
      <c r="D19" s="1" t="s">
        <v>17</v>
      </c>
    </row>
    <row r="20" spans="1:12" ht="13.2">
      <c r="A20" s="1" t="s">
        <v>52</v>
      </c>
      <c r="C20" s="115">
        <f>1.5</f>
        <v>1.5</v>
      </c>
      <c r="D20" s="1" t="s">
        <v>17</v>
      </c>
      <c r="F20" t="s">
        <v>57</v>
      </c>
    </row>
    <row r="21" spans="1:12" ht="15.75" customHeight="1">
      <c r="A21" s="1" t="s">
        <v>124</v>
      </c>
      <c r="C21" s="115">
        <f>1724</f>
        <v>1724</v>
      </c>
      <c r="D21" s="1" t="s">
        <v>56</v>
      </c>
      <c r="E21" s="15"/>
    </row>
    <row r="22" spans="1:12" ht="15.75" customHeight="1">
      <c r="A22" s="1" t="s">
        <v>125</v>
      </c>
      <c r="C22" s="115">
        <f>0.4 * C2/2</f>
        <v>7.0578807017404301</v>
      </c>
      <c r="D22" s="1" t="s">
        <v>8</v>
      </c>
      <c r="E22" s="15"/>
      <c r="F22" t="s">
        <v>58</v>
      </c>
    </row>
    <row r="23" spans="1:12" ht="15.75" customHeight="1">
      <c r="A23" s="1" t="s">
        <v>53</v>
      </c>
      <c r="C23" s="44">
        <v>6981.2433860000001</v>
      </c>
      <c r="D23" s="1" t="s">
        <v>56</v>
      </c>
      <c r="E23" s="15"/>
      <c r="F23" s="16" t="s">
        <v>119</v>
      </c>
    </row>
    <row r="24" spans="1:12" ht="15.75" customHeight="1">
      <c r="A24" s="1" t="s">
        <v>120</v>
      </c>
      <c r="C24" s="123">
        <f>0.05</f>
        <v>0.05</v>
      </c>
      <c r="D24" s="1" t="s">
        <v>8</v>
      </c>
      <c r="E24" s="15"/>
    </row>
    <row r="25" spans="1:12" ht="15.75" customHeight="1">
      <c r="A25" s="1" t="s">
        <v>121</v>
      </c>
      <c r="C25" s="116">
        <v>2780</v>
      </c>
      <c r="D25" s="1" t="s">
        <v>123</v>
      </c>
      <c r="G25" s="124" t="s">
        <v>182</v>
      </c>
      <c r="H25" s="124"/>
      <c r="I25" s="124"/>
      <c r="J25" s="124"/>
      <c r="K25" s="104"/>
      <c r="L25" s="104"/>
    </row>
    <row r="26" spans="1:12" ht="15.75" customHeight="1">
      <c r="A26" s="1" t="s">
        <v>122</v>
      </c>
      <c r="C26" s="118" t="s">
        <v>118</v>
      </c>
      <c r="D26" s="1" t="s">
        <v>17</v>
      </c>
      <c r="G26" s="104"/>
      <c r="H26" s="105" t="s">
        <v>295</v>
      </c>
      <c r="I26" s="105" t="s">
        <v>296</v>
      </c>
      <c r="J26" s="105" t="s">
        <v>297</v>
      </c>
      <c r="K26" s="105" t="s">
        <v>298</v>
      </c>
      <c r="L26" s="105" t="s">
        <v>114</v>
      </c>
    </row>
    <row r="27" spans="1:12" ht="15.75" customHeight="1">
      <c r="A27" s="1" t="s">
        <v>127</v>
      </c>
      <c r="C27" s="115">
        <f>1724</f>
        <v>1724</v>
      </c>
      <c r="G27" s="105" t="s">
        <v>183</v>
      </c>
      <c r="H27" s="106">
        <v>2780</v>
      </c>
      <c r="I27" s="106">
        <v>1800</v>
      </c>
      <c r="J27" s="106">
        <v>2520</v>
      </c>
      <c r="K27" s="104">
        <v>2450</v>
      </c>
      <c r="L27" s="105" t="s">
        <v>123</v>
      </c>
    </row>
    <row r="28" spans="1:12" ht="15.75" customHeight="1">
      <c r="A28" s="1" t="s">
        <v>128</v>
      </c>
      <c r="C28" s="115">
        <f xml:space="preserve"> 0.7 * (C2/2)</f>
        <v>12.351291228045753</v>
      </c>
      <c r="E28" t="s">
        <v>129</v>
      </c>
      <c r="G28" s="105" t="s">
        <v>185</v>
      </c>
      <c r="H28" s="106">
        <v>345000000</v>
      </c>
      <c r="I28" s="107" t="s">
        <v>17</v>
      </c>
      <c r="J28" s="107" t="s">
        <v>17</v>
      </c>
      <c r="K28" s="104"/>
      <c r="L28" s="105" t="s">
        <v>55</v>
      </c>
    </row>
    <row r="29" spans="1:12" ht="15.75" customHeight="1">
      <c r="A29" s="58" t="s">
        <v>160</v>
      </c>
      <c r="C29" s="118" t="s">
        <v>161</v>
      </c>
      <c r="G29" s="105" t="s">
        <v>186</v>
      </c>
      <c r="H29" s="106">
        <v>483000000</v>
      </c>
      <c r="I29" s="106">
        <v>3290000000</v>
      </c>
      <c r="J29" s="106">
        <v>992000000</v>
      </c>
      <c r="K29" s="104">
        <v>843000000</v>
      </c>
      <c r="L29" s="105" t="s">
        <v>55</v>
      </c>
    </row>
    <row r="30" spans="1:12" ht="15.75" customHeight="1">
      <c r="A30" s="58" t="s">
        <v>162</v>
      </c>
      <c r="C30" s="118" t="s">
        <v>163</v>
      </c>
      <c r="G30" s="105" t="s">
        <v>187</v>
      </c>
      <c r="H30" s="107" t="s">
        <v>17</v>
      </c>
      <c r="I30" s="106">
        <v>0.6</v>
      </c>
      <c r="J30" s="106">
        <v>0.6</v>
      </c>
      <c r="K30" s="104">
        <v>0.6</v>
      </c>
      <c r="L30" s="105" t="s">
        <v>17</v>
      </c>
    </row>
    <row r="31" spans="1:12" ht="15.75" customHeight="1" thickBot="1">
      <c r="A31" s="58" t="s">
        <v>217</v>
      </c>
      <c r="C31" s="109">
        <v>7146.1616480000002</v>
      </c>
      <c r="G31" s="105" t="s">
        <v>188</v>
      </c>
      <c r="H31" s="107" t="s">
        <v>17</v>
      </c>
      <c r="I31" s="106">
        <v>4</v>
      </c>
      <c r="J31" s="106">
        <v>4</v>
      </c>
      <c r="K31" s="104">
        <v>4</v>
      </c>
      <c r="L31" s="105" t="s">
        <v>17</v>
      </c>
    </row>
    <row r="32" spans="1:12" ht="15.75" customHeight="1" thickBot="1">
      <c r="A32" s="58" t="s">
        <v>218</v>
      </c>
      <c r="C32" s="120">
        <v>1740</v>
      </c>
      <c r="E32" s="16" t="s">
        <v>220</v>
      </c>
      <c r="G32" s="105" t="s">
        <v>189</v>
      </c>
      <c r="H32" s="104" t="s">
        <v>190</v>
      </c>
      <c r="I32" s="104" t="s">
        <v>191</v>
      </c>
      <c r="J32" s="105" t="s">
        <v>192</v>
      </c>
      <c r="K32" s="105" t="s">
        <v>17</v>
      </c>
      <c r="L32" s="104"/>
    </row>
    <row r="33" spans="1:10" ht="15.75" customHeight="1">
      <c r="A33" s="58" t="s">
        <v>219</v>
      </c>
      <c r="C33" s="115">
        <f>3.4</f>
        <v>3.4</v>
      </c>
      <c r="H33" s="58"/>
      <c r="I33" s="58"/>
      <c r="J33" s="58"/>
    </row>
    <row r="34" spans="1:10" ht="15.75" customHeight="1">
      <c r="G34" s="109" t="s">
        <v>300</v>
      </c>
      <c r="H34" s="58">
        <v>126295859.3</v>
      </c>
      <c r="I34" s="58">
        <v>910220384.89999998</v>
      </c>
      <c r="J34" s="58">
        <v>290726196.30000001</v>
      </c>
    </row>
    <row r="35" spans="1:10" ht="15.75" customHeight="1">
      <c r="G35" s="86" t="s">
        <v>301</v>
      </c>
      <c r="H35">
        <f>H34/H28</f>
        <v>0.36607495449275362</v>
      </c>
      <c r="I35">
        <f>I34/(I29*I30)</f>
        <v>0.46110455162107394</v>
      </c>
      <c r="J35">
        <f>J34/(J29*J30)</f>
        <v>0.48845127066532262</v>
      </c>
    </row>
  </sheetData>
  <mergeCells count="1">
    <mergeCell ref="G25:J25"/>
  </mergeCells>
  <conditionalFormatting sqref="C2">
    <cfRule type="notContainsBlanks" dxfId="12" priority="1">
      <formula>LEN(TRIM(C2))&gt;0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6182-CEEF-48E5-98F1-1C341E84BF78}">
  <dimension ref="A1:M1003"/>
  <sheetViews>
    <sheetView topLeftCell="A34" workbookViewId="0">
      <selection activeCell="C56" sqref="C56"/>
    </sheetView>
  </sheetViews>
  <sheetFormatPr defaultColWidth="14.44140625" defaultRowHeight="13.2"/>
  <cols>
    <col min="1" max="1" width="19.5546875" style="5" customWidth="1"/>
    <col min="2" max="3" width="14.44140625" style="5"/>
    <col min="4" max="4" width="18.109375" style="5" customWidth="1"/>
    <col min="5" max="16384" width="14.44140625" style="5"/>
  </cols>
  <sheetData>
    <row r="1" spans="1:13" ht="17.399999999999999">
      <c r="A1" s="4" t="s">
        <v>0</v>
      </c>
      <c r="B1" s="11" t="s">
        <v>1</v>
      </c>
      <c r="C1" s="4" t="s">
        <v>2</v>
      </c>
      <c r="D1" s="5" t="s">
        <v>114</v>
      </c>
      <c r="E1" s="5" t="s">
        <v>115</v>
      </c>
      <c r="H1" s="14" t="s">
        <v>116</v>
      </c>
      <c r="I1" s="13"/>
      <c r="J1" s="13"/>
      <c r="K1" s="13"/>
      <c r="L1" s="13"/>
      <c r="M1" s="13"/>
    </row>
    <row r="2" spans="1:13">
      <c r="A2" s="5" t="s">
        <v>107</v>
      </c>
      <c r="C2" s="48">
        <v>59</v>
      </c>
      <c r="E2" s="5" t="s">
        <v>108</v>
      </c>
    </row>
    <row r="3" spans="1:13">
      <c r="A3" s="4" t="s">
        <v>59</v>
      </c>
      <c r="B3" s="4" t="s">
        <v>60</v>
      </c>
      <c r="C3" s="49">
        <v>2500</v>
      </c>
      <c r="D3" s="4" t="s">
        <v>8</v>
      </c>
      <c r="E3" s="4" t="s">
        <v>61</v>
      </c>
    </row>
    <row r="4" spans="1:13">
      <c r="A4" s="4" t="s">
        <v>62</v>
      </c>
      <c r="B4" s="4" t="s">
        <v>63</v>
      </c>
      <c r="C4" s="49">
        <v>8900</v>
      </c>
      <c r="D4" s="4" t="s">
        <v>8</v>
      </c>
      <c r="E4" s="4" t="s">
        <v>64</v>
      </c>
    </row>
    <row r="5" spans="1:13">
      <c r="A5" s="4" t="s">
        <v>65</v>
      </c>
      <c r="B5" s="4" t="s">
        <v>66</v>
      </c>
      <c r="C5" s="49">
        <v>74682.512282813492</v>
      </c>
      <c r="D5" s="4" t="s">
        <v>55</v>
      </c>
    </row>
    <row r="6" spans="1:13">
      <c r="A6" s="4" t="s">
        <v>67</v>
      </c>
      <c r="B6" s="4" t="s">
        <v>68</v>
      </c>
      <c r="C6" s="49">
        <v>31202.517202843417</v>
      </c>
      <c r="D6" s="4" t="s">
        <v>55</v>
      </c>
    </row>
    <row r="7" spans="1:13">
      <c r="A7" s="6" t="s">
        <v>69</v>
      </c>
      <c r="B7" s="4" t="s">
        <v>70</v>
      </c>
      <c r="C7" s="49">
        <v>43479.995079970075</v>
      </c>
      <c r="D7" s="4" t="s">
        <v>55</v>
      </c>
    </row>
    <row r="8" spans="1:13">
      <c r="A8" s="4" t="s">
        <v>71</v>
      </c>
      <c r="B8" s="4" t="s">
        <v>72</v>
      </c>
      <c r="C8" s="50">
        <v>0</v>
      </c>
      <c r="D8" s="4" t="s">
        <v>8</v>
      </c>
      <c r="E8" s="6" t="s">
        <v>73</v>
      </c>
      <c r="H8" s="6" t="s">
        <v>89</v>
      </c>
    </row>
    <row r="9" spans="1:13">
      <c r="A9" s="4" t="s">
        <v>74</v>
      </c>
      <c r="B9" s="6" t="s">
        <v>75</v>
      </c>
      <c r="C9" s="49">
        <v>0</v>
      </c>
      <c r="D9" s="4" t="s">
        <v>8</v>
      </c>
      <c r="E9" s="6" t="s">
        <v>76</v>
      </c>
    </row>
    <row r="10" spans="1:13" ht="15.75" customHeight="1">
      <c r="A10" s="4" t="s">
        <v>77</v>
      </c>
      <c r="B10" s="4" t="s">
        <v>78</v>
      </c>
      <c r="C10" s="49">
        <v>1.55</v>
      </c>
      <c r="D10" s="4" t="s">
        <v>8</v>
      </c>
      <c r="E10" s="4" t="s">
        <v>79</v>
      </c>
    </row>
    <row r="11" spans="1:13" ht="15.75" customHeight="1">
      <c r="A11" s="4" t="s">
        <v>80</v>
      </c>
      <c r="B11" s="4" t="s">
        <v>81</v>
      </c>
      <c r="C11" s="49">
        <v>3.2</v>
      </c>
      <c r="D11" s="4" t="s">
        <v>8</v>
      </c>
      <c r="E11" s="4" t="s">
        <v>82</v>
      </c>
      <c r="G11" s="7"/>
    </row>
    <row r="12" spans="1:13">
      <c r="A12" s="4" t="s">
        <v>83</v>
      </c>
      <c r="B12" s="4" t="s">
        <v>84</v>
      </c>
      <c r="C12" s="49">
        <v>0</v>
      </c>
      <c r="D12" s="4" t="s">
        <v>8</v>
      </c>
      <c r="E12" s="4" t="s">
        <v>85</v>
      </c>
      <c r="H12" s="4" t="s">
        <v>86</v>
      </c>
    </row>
    <row r="13" spans="1:13" ht="28.2" customHeight="1" thickBot="1">
      <c r="A13" s="6" t="s">
        <v>71</v>
      </c>
      <c r="B13" s="4" t="s">
        <v>87</v>
      </c>
      <c r="C13" s="51">
        <v>2.2999999999999998</v>
      </c>
      <c r="D13" s="4" t="s">
        <v>8</v>
      </c>
      <c r="E13" s="8" t="s">
        <v>88</v>
      </c>
      <c r="H13" s="4" t="s">
        <v>89</v>
      </c>
    </row>
    <row r="14" spans="1:13" ht="15.75" customHeight="1" thickBot="1">
      <c r="A14" s="9" t="s">
        <v>90</v>
      </c>
      <c r="B14" s="9" t="s">
        <v>91</v>
      </c>
      <c r="C14" s="52">
        <v>2.9660000000000002</v>
      </c>
      <c r="D14" s="9" t="s">
        <v>8</v>
      </c>
      <c r="E14" s="10" t="s">
        <v>92</v>
      </c>
      <c r="F14" s="9"/>
      <c r="G14" s="9"/>
    </row>
    <row r="15" spans="1:13" ht="15.75" customHeight="1">
      <c r="A15" s="12" t="s">
        <v>93</v>
      </c>
      <c r="B15" s="12" t="s">
        <v>95</v>
      </c>
      <c r="C15" s="48">
        <v>16433.189999999999</v>
      </c>
      <c r="D15" s="12" t="s">
        <v>56</v>
      </c>
      <c r="E15" s="12" t="s">
        <v>110</v>
      </c>
    </row>
    <row r="16" spans="1:13" ht="15.75" customHeight="1">
      <c r="A16" s="12" t="s">
        <v>94</v>
      </c>
      <c r="B16" s="12" t="s">
        <v>96</v>
      </c>
      <c r="C16" s="48">
        <v>1858.387324</v>
      </c>
      <c r="D16" s="12" t="s">
        <v>56</v>
      </c>
      <c r="E16" s="12" t="s">
        <v>110</v>
      </c>
    </row>
    <row r="17" spans="1:9">
      <c r="A17" s="12" t="s">
        <v>97</v>
      </c>
      <c r="B17" s="12" t="s">
        <v>99</v>
      </c>
      <c r="C17" s="48">
        <v>30</v>
      </c>
      <c r="D17" s="12" t="s">
        <v>8</v>
      </c>
      <c r="E17" s="11" t="s">
        <v>133</v>
      </c>
      <c r="H17" s="15"/>
      <c r="I17" s="17"/>
    </row>
    <row r="18" spans="1:9" ht="15.75" customHeight="1">
      <c r="A18" s="12" t="s">
        <v>98</v>
      </c>
      <c r="B18" s="12" t="s">
        <v>100</v>
      </c>
      <c r="C18" s="48">
        <v>38.130000000000003</v>
      </c>
      <c r="D18" s="12" t="s">
        <v>8</v>
      </c>
      <c r="E18" s="11" t="s">
        <v>133</v>
      </c>
      <c r="H18" s="15"/>
      <c r="I18" s="17"/>
    </row>
    <row r="19" spans="1:9" ht="15.75" customHeight="1">
      <c r="A19" s="12" t="s">
        <v>130</v>
      </c>
      <c r="B19" s="12" t="s">
        <v>131</v>
      </c>
      <c r="C19" s="48">
        <v>44.13</v>
      </c>
      <c r="D19" s="12" t="s">
        <v>8</v>
      </c>
      <c r="E19" s="15"/>
      <c r="F19" s="17"/>
      <c r="H19" s="17"/>
      <c r="I19" s="17"/>
    </row>
    <row r="20" spans="1:9" ht="15.75" customHeight="1">
      <c r="A20" s="12" t="s">
        <v>101</v>
      </c>
      <c r="B20" s="12" t="s">
        <v>102</v>
      </c>
      <c r="C20" s="48">
        <v>0.75</v>
      </c>
      <c r="D20" s="12" t="s">
        <v>8</v>
      </c>
      <c r="E20" s="15"/>
      <c r="F20" s="17"/>
    </row>
    <row r="21" spans="1:9" ht="15.75" customHeight="1">
      <c r="A21" s="12" t="s">
        <v>103</v>
      </c>
      <c r="B21" s="12" t="s">
        <v>104</v>
      </c>
      <c r="C21" s="48">
        <v>24</v>
      </c>
      <c r="D21" s="12" t="s">
        <v>17</v>
      </c>
      <c r="E21" s="15"/>
      <c r="F21" s="17"/>
    </row>
    <row r="22" spans="1:9" ht="15.75" customHeight="1">
      <c r="A22" s="12" t="s">
        <v>137</v>
      </c>
      <c r="B22" s="12" t="s">
        <v>138</v>
      </c>
      <c r="C22" s="48">
        <v>18</v>
      </c>
      <c r="D22" s="12" t="s">
        <v>8</v>
      </c>
      <c r="E22" s="17"/>
      <c r="F22" s="17"/>
    </row>
    <row r="23" spans="1:9" ht="15.75" customHeight="1">
      <c r="A23" s="12" t="s">
        <v>113</v>
      </c>
      <c r="B23" s="12"/>
      <c r="C23" s="48">
        <v>120</v>
      </c>
      <c r="D23" s="12" t="s">
        <v>17</v>
      </c>
      <c r="E23" s="15" t="s">
        <v>117</v>
      </c>
      <c r="F23" s="17"/>
    </row>
    <row r="24" spans="1:9" ht="15.75" customHeight="1">
      <c r="A24" s="12" t="s">
        <v>112</v>
      </c>
      <c r="B24" s="12" t="s">
        <v>139</v>
      </c>
      <c r="C24" s="48">
        <v>5</v>
      </c>
      <c r="D24" s="12" t="s">
        <v>17</v>
      </c>
      <c r="E24" s="15"/>
      <c r="F24" s="17"/>
    </row>
    <row r="25" spans="1:9" ht="15.75" customHeight="1">
      <c r="A25" s="12" t="s">
        <v>105</v>
      </c>
      <c r="B25" s="12" t="s">
        <v>106</v>
      </c>
      <c r="C25" s="48">
        <v>102.36</v>
      </c>
      <c r="D25" s="12" t="s">
        <v>56</v>
      </c>
      <c r="E25" s="17" t="s">
        <v>111</v>
      </c>
      <c r="F25" s="17"/>
    </row>
    <row r="26" spans="1:9" ht="15.75" customHeight="1">
      <c r="A26" s="12" t="s">
        <v>132</v>
      </c>
      <c r="B26" s="12" t="s">
        <v>146</v>
      </c>
      <c r="C26" s="48">
        <v>15</v>
      </c>
      <c r="D26" s="12" t="s">
        <v>8</v>
      </c>
      <c r="E26" s="15"/>
      <c r="F26" s="17"/>
      <c r="G26" s="5" t="s">
        <v>134</v>
      </c>
    </row>
    <row r="27" spans="1:9" ht="15.75" customHeight="1">
      <c r="A27" s="12" t="s">
        <v>135</v>
      </c>
      <c r="B27" s="17" t="s">
        <v>136</v>
      </c>
      <c r="C27" s="48">
        <v>2000</v>
      </c>
      <c r="D27" s="15" t="s">
        <v>56</v>
      </c>
      <c r="E27" s="15"/>
      <c r="F27" s="17"/>
    </row>
    <row r="28" spans="1:9" ht="15.75" customHeight="1">
      <c r="A28" s="12" t="s">
        <v>143</v>
      </c>
      <c r="B28" s="12" t="s">
        <v>142</v>
      </c>
      <c r="C28" s="48">
        <v>10</v>
      </c>
      <c r="D28" s="12" t="s">
        <v>8</v>
      </c>
      <c r="E28" s="15"/>
      <c r="F28" s="17"/>
    </row>
    <row r="29" spans="1:9" ht="15.75" customHeight="1">
      <c r="A29" s="12" t="s">
        <v>140</v>
      </c>
      <c r="B29" s="12" t="s">
        <v>141</v>
      </c>
      <c r="C29" s="48">
        <v>2000</v>
      </c>
      <c r="D29" s="12" t="s">
        <v>56</v>
      </c>
      <c r="E29" s="15"/>
      <c r="F29" s="17"/>
    </row>
    <row r="30" spans="1:9" ht="15.75" customHeight="1">
      <c r="A30" s="12" t="s">
        <v>144</v>
      </c>
      <c r="B30" s="12" t="s">
        <v>145</v>
      </c>
      <c r="C30" s="48">
        <v>20</v>
      </c>
      <c r="D30" s="12" t="s">
        <v>8</v>
      </c>
      <c r="E30" s="15"/>
      <c r="F30" s="17"/>
    </row>
    <row r="31" spans="1:9" ht="15.75" customHeight="1">
      <c r="A31" s="12" t="s">
        <v>148</v>
      </c>
      <c r="B31" s="12" t="s">
        <v>147</v>
      </c>
      <c r="C31" s="48">
        <v>0</v>
      </c>
      <c r="D31" s="12" t="s">
        <v>56</v>
      </c>
      <c r="E31" s="15"/>
      <c r="F31" s="17"/>
      <c r="G31" s="12" t="s">
        <v>151</v>
      </c>
    </row>
    <row r="32" spans="1:9" ht="15.75" customHeight="1">
      <c r="A32" s="12" t="s">
        <v>149</v>
      </c>
      <c r="B32" s="12" t="s">
        <v>150</v>
      </c>
      <c r="C32" s="48">
        <v>0</v>
      </c>
      <c r="D32" s="12" t="s">
        <v>8</v>
      </c>
      <c r="E32" s="15"/>
      <c r="F32" s="17"/>
    </row>
    <row r="33" spans="1:11" ht="15.75" customHeight="1">
      <c r="A33" s="12" t="s">
        <v>152</v>
      </c>
      <c r="B33" s="12" t="s">
        <v>153</v>
      </c>
      <c r="C33" s="48">
        <v>6045.7238900000002</v>
      </c>
      <c r="D33" s="12" t="s">
        <v>56</v>
      </c>
      <c r="E33" s="15" t="s">
        <v>154</v>
      </c>
      <c r="F33" s="17"/>
    </row>
    <row r="34" spans="1:11" ht="15.75" customHeight="1">
      <c r="A34" s="12" t="s">
        <v>155</v>
      </c>
      <c r="B34" s="12" t="s">
        <v>155</v>
      </c>
      <c r="C34" s="71">
        <v>22763.405034000003</v>
      </c>
      <c r="D34" s="12" t="s">
        <v>56</v>
      </c>
      <c r="E34" s="15" t="s">
        <v>154</v>
      </c>
      <c r="F34" s="17"/>
      <c r="G34" s="59" t="s">
        <v>216</v>
      </c>
    </row>
    <row r="35" spans="1:11" ht="15.75" customHeight="1">
      <c r="A35" s="12" t="s">
        <v>156</v>
      </c>
      <c r="B35" s="12" t="s">
        <v>158</v>
      </c>
      <c r="C35" s="48">
        <v>0</v>
      </c>
      <c r="D35" s="12" t="s">
        <v>8</v>
      </c>
      <c r="E35" s="17"/>
      <c r="F35" s="17"/>
      <c r="G35" s="5" t="s">
        <v>157</v>
      </c>
      <c r="I35" s="5">
        <v>1.55</v>
      </c>
    </row>
    <row r="36" spans="1:11" ht="15.75" customHeight="1">
      <c r="A36" s="12" t="s">
        <v>160</v>
      </c>
      <c r="C36" s="72" t="s">
        <v>161</v>
      </c>
      <c r="E36" s="17"/>
      <c r="F36" s="17"/>
    </row>
    <row r="37" spans="1:11" ht="15.75" customHeight="1">
      <c r="A37" s="12" t="s">
        <v>164</v>
      </c>
      <c r="C37" s="45" t="s">
        <v>118</v>
      </c>
      <c r="E37" s="17"/>
      <c r="F37" s="17"/>
    </row>
    <row r="38" spans="1:11" ht="15.75" customHeight="1">
      <c r="A38" s="12" t="s">
        <v>159</v>
      </c>
      <c r="C38" s="42">
        <v>345000000</v>
      </c>
      <c r="D38" s="12" t="s">
        <v>55</v>
      </c>
    </row>
    <row r="39" spans="1:11" ht="15.75" customHeight="1">
      <c r="A39" s="12" t="s">
        <v>162</v>
      </c>
      <c r="C39" s="72" t="s">
        <v>163</v>
      </c>
    </row>
    <row r="40" spans="1:11" ht="15.75" customHeight="1">
      <c r="A40" s="12" t="s">
        <v>165</v>
      </c>
      <c r="C40" s="54" t="s">
        <v>167</v>
      </c>
    </row>
    <row r="41" spans="1:11" ht="15.75" customHeight="1">
      <c r="A41" s="12" t="s">
        <v>166</v>
      </c>
      <c r="C41" s="54">
        <v>3400000000</v>
      </c>
      <c r="D41" s="5" t="s">
        <v>55</v>
      </c>
      <c r="F41" s="124" t="s">
        <v>182</v>
      </c>
      <c r="G41" s="124"/>
      <c r="H41" s="124"/>
      <c r="I41" s="124"/>
      <c r="J41" s="100"/>
      <c r="K41" s="100"/>
    </row>
    <row r="42" spans="1:11" ht="15.75" customHeight="1">
      <c r="A42" s="12" t="s">
        <v>168</v>
      </c>
      <c r="C42" s="54">
        <v>0.6</v>
      </c>
      <c r="D42" s="5" t="s">
        <v>17</v>
      </c>
      <c r="F42" s="100"/>
      <c r="G42" s="101" t="s">
        <v>295</v>
      </c>
      <c r="H42" s="101" t="s">
        <v>296</v>
      </c>
      <c r="I42" s="101" t="s">
        <v>297</v>
      </c>
      <c r="J42" s="101" t="s">
        <v>298</v>
      </c>
      <c r="K42" s="101" t="s">
        <v>114</v>
      </c>
    </row>
    <row r="43" spans="1:11" ht="15.75" customHeight="1">
      <c r="A43" s="12" t="s">
        <v>169</v>
      </c>
      <c r="C43" s="69">
        <v>2.5000000000000001E-2</v>
      </c>
      <c r="D43" s="5" t="s">
        <v>8</v>
      </c>
      <c r="F43" s="101" t="s">
        <v>183</v>
      </c>
      <c r="G43" s="102">
        <v>2780</v>
      </c>
      <c r="H43" s="102">
        <v>1800</v>
      </c>
      <c r="I43" s="102">
        <v>2520</v>
      </c>
      <c r="J43" s="100">
        <v>2450</v>
      </c>
      <c r="K43" s="101" t="s">
        <v>123</v>
      </c>
    </row>
    <row r="44" spans="1:11" ht="15.75" customHeight="1">
      <c r="A44" s="12" t="s">
        <v>170</v>
      </c>
      <c r="C44" s="69">
        <v>0.01</v>
      </c>
      <c r="D44" s="5" t="s">
        <v>8</v>
      </c>
      <c r="F44" s="101" t="s">
        <v>185</v>
      </c>
      <c r="G44" s="102">
        <v>345000000</v>
      </c>
      <c r="H44" s="103" t="s">
        <v>17</v>
      </c>
      <c r="I44" s="103" t="s">
        <v>17</v>
      </c>
      <c r="J44" s="100"/>
      <c r="K44" s="101" t="s">
        <v>55</v>
      </c>
    </row>
    <row r="45" spans="1:11" ht="15.75" customHeight="1">
      <c r="A45" s="12" t="s">
        <v>171</v>
      </c>
      <c r="C45" s="48">
        <v>1</v>
      </c>
      <c r="D45" s="5" t="s">
        <v>8</v>
      </c>
      <c r="F45" s="101" t="s">
        <v>186</v>
      </c>
      <c r="G45" s="102">
        <v>483000000</v>
      </c>
      <c r="H45" s="102">
        <v>3290000000</v>
      </c>
      <c r="I45" s="102">
        <v>992000000</v>
      </c>
      <c r="J45" s="100">
        <v>843000000</v>
      </c>
      <c r="K45" s="101" t="s">
        <v>55</v>
      </c>
    </row>
    <row r="46" spans="1:11" ht="15.75" customHeight="1">
      <c r="A46" s="12" t="s">
        <v>175</v>
      </c>
      <c r="C46" s="48">
        <v>0</v>
      </c>
      <c r="D46" s="5" t="s">
        <v>8</v>
      </c>
      <c r="F46" s="101" t="s">
        <v>187</v>
      </c>
      <c r="G46" s="103" t="s">
        <v>17</v>
      </c>
      <c r="H46" s="102">
        <v>0.6</v>
      </c>
      <c r="I46" s="102">
        <v>0.6</v>
      </c>
      <c r="J46" s="100">
        <v>0.6</v>
      </c>
      <c r="K46" s="101" t="s">
        <v>17</v>
      </c>
    </row>
    <row r="47" spans="1:11" ht="15.75" customHeight="1">
      <c r="A47" s="12" t="s">
        <v>172</v>
      </c>
      <c r="C47" s="54">
        <v>2780</v>
      </c>
      <c r="D47" s="5" t="s">
        <v>123</v>
      </c>
      <c r="F47" s="101" t="s">
        <v>188</v>
      </c>
      <c r="G47" s="103" t="s">
        <v>17</v>
      </c>
      <c r="H47" s="102">
        <v>4</v>
      </c>
      <c r="I47" s="102">
        <v>4</v>
      </c>
      <c r="J47" s="100">
        <v>4</v>
      </c>
      <c r="K47" s="101" t="s">
        <v>17</v>
      </c>
    </row>
    <row r="48" spans="1:11" ht="15.75" customHeight="1">
      <c r="A48" s="12" t="s">
        <v>173</v>
      </c>
      <c r="C48" s="54">
        <v>1600</v>
      </c>
      <c r="D48" s="5" t="s">
        <v>123</v>
      </c>
      <c r="F48" s="101" t="s">
        <v>189</v>
      </c>
      <c r="G48" s="100" t="s">
        <v>190</v>
      </c>
      <c r="H48" s="100" t="s">
        <v>191</v>
      </c>
      <c r="I48" s="101" t="s">
        <v>192</v>
      </c>
      <c r="J48" s="101" t="s">
        <v>17</v>
      </c>
      <c r="K48" s="100"/>
    </row>
    <row r="49" spans="1:10" ht="15.75" customHeight="1" thickBot="1">
      <c r="A49" s="12" t="s">
        <v>174</v>
      </c>
      <c r="C49" s="54">
        <v>4</v>
      </c>
      <c r="D49" s="5" t="s">
        <v>17</v>
      </c>
      <c r="F49"/>
      <c r="G49"/>
      <c r="H49"/>
      <c r="I49"/>
      <c r="J49"/>
    </row>
    <row r="50" spans="1:10" ht="15.75" customHeight="1" thickBot="1">
      <c r="A50" s="12" t="s">
        <v>221</v>
      </c>
      <c r="B50"/>
      <c r="C50" s="65">
        <v>676</v>
      </c>
      <c r="D50" s="62" t="s">
        <v>56</v>
      </c>
    </row>
    <row r="51" spans="1:10" ht="15.75" customHeight="1">
      <c r="A51" s="12" t="s">
        <v>222</v>
      </c>
      <c r="C51" s="41">
        <v>5</v>
      </c>
      <c r="D51" s="63" t="s">
        <v>8</v>
      </c>
    </row>
    <row r="52" spans="1:10" ht="15.75" customHeight="1"/>
    <row r="53" spans="1:10" ht="15.75" customHeight="1"/>
    <row r="54" spans="1:10" ht="15.75" customHeight="1">
      <c r="C54" s="129">
        <v>126295859.3</v>
      </c>
    </row>
    <row r="55" spans="1:10" ht="15.75" customHeight="1">
      <c r="C55" s="5">
        <f>C54/C38</f>
        <v>0.36607495449275362</v>
      </c>
    </row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F41:I4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3CF3-6F65-4FED-8A0E-816FD9D7B59A}">
  <dimension ref="A1:P54"/>
  <sheetViews>
    <sheetView tabSelected="1" workbookViewId="0">
      <selection activeCell="C11" sqref="C11"/>
    </sheetView>
  </sheetViews>
  <sheetFormatPr defaultRowHeight="13.2"/>
  <cols>
    <col min="1" max="1" width="26.6640625" customWidth="1"/>
    <col min="2" max="2" width="17" customWidth="1"/>
    <col min="3" max="3" width="18.21875" customWidth="1"/>
    <col min="4" max="4" width="18.33203125" customWidth="1"/>
    <col min="5" max="5" width="17.77734375" customWidth="1"/>
    <col min="9" max="9" width="18.44140625" customWidth="1"/>
    <col min="10" max="10" width="13.6640625" customWidth="1"/>
    <col min="11" max="11" width="14" customWidth="1"/>
    <col min="12" max="12" width="15.109375" customWidth="1"/>
    <col min="13" max="13" width="15.5546875" customWidth="1"/>
  </cols>
  <sheetData>
    <row r="1" spans="1:16" ht="20.399999999999999">
      <c r="A1" s="125" t="s">
        <v>179</v>
      </c>
      <c r="B1" s="125"/>
      <c r="C1" s="125"/>
      <c r="D1" s="125"/>
      <c r="E1" s="125"/>
      <c r="I1" s="125" t="s">
        <v>180</v>
      </c>
      <c r="J1" s="125"/>
      <c r="K1" s="125"/>
      <c r="L1" s="125"/>
      <c r="M1" s="125"/>
      <c r="N1" s="125"/>
    </row>
    <row r="2" spans="1:16">
      <c r="A2" s="16" t="s">
        <v>181</v>
      </c>
      <c r="C2" s="18" t="s">
        <v>176</v>
      </c>
      <c r="D2" s="18" t="s">
        <v>177</v>
      </c>
      <c r="E2" s="18" t="s">
        <v>178</v>
      </c>
      <c r="K2" s="18" t="s">
        <v>176</v>
      </c>
      <c r="L2" s="18" t="s">
        <v>177</v>
      </c>
      <c r="M2" s="18" t="s">
        <v>178</v>
      </c>
    </row>
    <row r="3" spans="1:16">
      <c r="A3" s="19" t="s">
        <v>0</v>
      </c>
      <c r="B3" s="19" t="s">
        <v>1</v>
      </c>
      <c r="C3" s="19" t="s">
        <v>2</v>
      </c>
      <c r="D3" s="20"/>
      <c r="E3" s="20"/>
      <c r="F3" s="19" t="s">
        <v>3</v>
      </c>
      <c r="G3" s="19" t="s">
        <v>193</v>
      </c>
      <c r="I3" s="21" t="s">
        <v>0</v>
      </c>
      <c r="J3" s="22" t="s">
        <v>1</v>
      </c>
      <c r="K3" s="21" t="s">
        <v>2</v>
      </c>
      <c r="L3" s="20"/>
      <c r="M3" s="20"/>
      <c r="N3" s="22" t="s">
        <v>114</v>
      </c>
      <c r="O3" s="20" t="s">
        <v>193</v>
      </c>
    </row>
    <row r="4" spans="1:16" ht="13.8" thickBot="1">
      <c r="A4" s="1" t="s">
        <v>6</v>
      </c>
      <c r="B4" s="1" t="s">
        <v>7</v>
      </c>
      <c r="C4" s="66">
        <f>SQRT(C5*C6)</f>
        <v>36.320393720332937</v>
      </c>
      <c r="D4" s="66">
        <f>SQRT(D5*D6)</f>
        <v>41.066111332825272</v>
      </c>
      <c r="E4" s="66">
        <f>SQRT(E5*E6)</f>
        <v>41.131478213164186</v>
      </c>
      <c r="F4" s="24" t="s">
        <v>8</v>
      </c>
      <c r="G4" s="26" t="s">
        <v>194</v>
      </c>
      <c r="H4" s="27"/>
      <c r="I4" s="5" t="s">
        <v>107</v>
      </c>
      <c r="J4" s="5"/>
      <c r="K4" s="48">
        <f>ROUND((K21/K22),0)</f>
        <v>59</v>
      </c>
      <c r="L4" s="48">
        <f>ROUND((L21/L22),0)</f>
        <v>75</v>
      </c>
      <c r="M4" s="48">
        <f>ROUND((M21/M22),0)</f>
        <v>62</v>
      </c>
      <c r="N4" s="29"/>
      <c r="O4" s="55" t="s">
        <v>195</v>
      </c>
      <c r="P4" s="27"/>
    </row>
    <row r="5" spans="1:16" ht="13.8" thickBot="1">
      <c r="A5" s="1" t="s">
        <v>10</v>
      </c>
      <c r="B5" s="1" t="s">
        <v>11</v>
      </c>
      <c r="C5" s="65">
        <v>132.58000000000001</v>
      </c>
      <c r="D5" s="65">
        <v>169.49</v>
      </c>
      <c r="E5" s="65">
        <v>170.03</v>
      </c>
      <c r="F5" s="24" t="s">
        <v>12</v>
      </c>
      <c r="G5" s="26" t="s">
        <v>194</v>
      </c>
      <c r="H5" s="27"/>
      <c r="I5" s="4" t="s">
        <v>59</v>
      </c>
      <c r="J5" s="4" t="s">
        <v>60</v>
      </c>
      <c r="K5" s="49">
        <v>2500</v>
      </c>
      <c r="L5" s="49">
        <v>2500</v>
      </c>
      <c r="M5" s="49">
        <v>2500</v>
      </c>
      <c r="N5" s="30" t="s">
        <v>8</v>
      </c>
      <c r="O5" s="55" t="s">
        <v>195</v>
      </c>
      <c r="P5" s="27"/>
    </row>
    <row r="6" spans="1:16">
      <c r="A6" s="1" t="s">
        <v>15</v>
      </c>
      <c r="B6" s="1" t="s">
        <v>16</v>
      </c>
      <c r="C6" s="32">
        <f>9.95</f>
        <v>9.9499999999999993</v>
      </c>
      <c r="D6" s="32">
        <f t="shared" ref="D6:E6" si="0">9.95</f>
        <v>9.9499999999999993</v>
      </c>
      <c r="E6" s="32">
        <f t="shared" si="0"/>
        <v>9.9499999999999993</v>
      </c>
      <c r="F6" s="24" t="s">
        <v>17</v>
      </c>
      <c r="G6" s="26" t="s">
        <v>194</v>
      </c>
      <c r="H6" s="27"/>
      <c r="I6" s="4" t="s">
        <v>62</v>
      </c>
      <c r="J6" s="4" t="s">
        <v>63</v>
      </c>
      <c r="K6" s="49">
        <v>8900</v>
      </c>
      <c r="L6" s="49">
        <v>8900</v>
      </c>
      <c r="M6" s="49">
        <v>8900</v>
      </c>
      <c r="N6" s="30" t="s">
        <v>8</v>
      </c>
      <c r="O6" s="55" t="s">
        <v>195</v>
      </c>
      <c r="P6" s="27"/>
    </row>
    <row r="7" spans="1:16">
      <c r="A7" s="1" t="s">
        <v>18</v>
      </c>
      <c r="B7" s="1" t="s">
        <v>19</v>
      </c>
      <c r="C7" s="34">
        <v>0.22</v>
      </c>
      <c r="D7" s="34">
        <v>0.22</v>
      </c>
      <c r="E7" s="34">
        <v>0.22</v>
      </c>
      <c r="F7" s="24" t="s">
        <v>17</v>
      </c>
      <c r="G7" s="26" t="s">
        <v>194</v>
      </c>
      <c r="H7" s="27"/>
      <c r="I7" s="4" t="s">
        <v>65</v>
      </c>
      <c r="J7" s="4" t="s">
        <v>66</v>
      </c>
      <c r="K7" s="49">
        <f t="shared" ref="K7:M8" si="1">101325*(1-(0.0000225577)*(K5))^5.25588</f>
        <v>74682.512282813492</v>
      </c>
      <c r="L7" s="49">
        <f t="shared" si="1"/>
        <v>74682.512282813492</v>
      </c>
      <c r="M7" s="49">
        <f t="shared" si="1"/>
        <v>74682.512282813492</v>
      </c>
      <c r="N7" s="30" t="s">
        <v>55</v>
      </c>
      <c r="O7" s="55" t="s">
        <v>195</v>
      </c>
      <c r="P7" s="27"/>
    </row>
    <row r="8" spans="1:16">
      <c r="A8" s="1" t="s">
        <v>21</v>
      </c>
      <c r="B8" s="1" t="s">
        <v>22</v>
      </c>
      <c r="C8" s="32">
        <f>(2*C5)/(C4*(C7+1))</f>
        <v>5.9840833215805143</v>
      </c>
      <c r="D8" s="32">
        <f>(2*D5)/(D4*(D7+1))</f>
        <v>6.7659792953003164</v>
      </c>
      <c r="E8" s="32">
        <f>(2*E5)/(E4*(E7+1))</f>
        <v>6.7767490259764696</v>
      </c>
      <c r="F8" s="24" t="s">
        <v>8</v>
      </c>
      <c r="G8" s="26" t="s">
        <v>194</v>
      </c>
      <c r="H8" s="27"/>
      <c r="I8" s="4" t="s">
        <v>67</v>
      </c>
      <c r="J8" s="4" t="s">
        <v>68</v>
      </c>
      <c r="K8" s="49">
        <f t="shared" si="1"/>
        <v>31202.517202843417</v>
      </c>
      <c r="L8" s="49">
        <f t="shared" si="1"/>
        <v>31202.517202843417</v>
      </c>
      <c r="M8" s="49">
        <f t="shared" si="1"/>
        <v>31202.517202843417</v>
      </c>
      <c r="N8" s="30" t="s">
        <v>55</v>
      </c>
      <c r="O8" s="55" t="s">
        <v>195</v>
      </c>
      <c r="P8" s="27"/>
    </row>
    <row r="9" spans="1:16">
      <c r="A9" s="1" t="s">
        <v>25</v>
      </c>
      <c r="B9" s="1" t="s">
        <v>26</v>
      </c>
      <c r="C9" s="32">
        <f>C8*C7</f>
        <v>1.3164983307477132</v>
      </c>
      <c r="D9" s="32">
        <f>D8*D7</f>
        <v>1.4885154449660696</v>
      </c>
      <c r="E9" s="32">
        <f>E8*E7</f>
        <v>1.4908847857148233</v>
      </c>
      <c r="F9" s="24" t="s">
        <v>8</v>
      </c>
      <c r="G9" s="26" t="s">
        <v>194</v>
      </c>
      <c r="H9" s="27"/>
      <c r="I9" s="6" t="s">
        <v>69</v>
      </c>
      <c r="J9" s="4" t="s">
        <v>70</v>
      </c>
      <c r="K9" s="49">
        <f>K7-K8</f>
        <v>43479.995079970075</v>
      </c>
      <c r="L9" s="49">
        <f>L7-L8</f>
        <v>43479.995079970075</v>
      </c>
      <c r="M9" s="49">
        <f>M7-M8</f>
        <v>43479.995079970075</v>
      </c>
      <c r="N9" s="30" t="s">
        <v>55</v>
      </c>
      <c r="O9" s="55" t="s">
        <v>195</v>
      </c>
      <c r="P9" s="27"/>
    </row>
    <row r="10" spans="1:16" ht="13.8" thickBot="1">
      <c r="A10" s="1" t="s">
        <v>27</v>
      </c>
      <c r="B10" s="1" t="s">
        <v>28</v>
      </c>
      <c r="C10" s="36">
        <f>(C8+C9)/2</f>
        <v>3.6502908261641136</v>
      </c>
      <c r="D10" s="36">
        <f>(D8+D9)/2</f>
        <v>4.1272473701331931</v>
      </c>
      <c r="E10" s="36">
        <f>(E8+E9)/2</f>
        <v>4.1338169058456469</v>
      </c>
      <c r="F10" s="24" t="s">
        <v>8</v>
      </c>
      <c r="G10" s="26" t="s">
        <v>194</v>
      </c>
      <c r="H10" s="27"/>
      <c r="I10" s="4" t="s">
        <v>71</v>
      </c>
      <c r="J10" s="4" t="s">
        <v>72</v>
      </c>
      <c r="K10" s="50">
        <f>0</f>
        <v>0</v>
      </c>
      <c r="L10" s="50">
        <f>0</f>
        <v>0</v>
      </c>
      <c r="M10" s="50">
        <v>2.54</v>
      </c>
      <c r="N10" s="30" t="s">
        <v>8</v>
      </c>
      <c r="O10" s="27"/>
      <c r="P10" s="27"/>
    </row>
    <row r="11" spans="1:16" ht="13.8" thickBot="1">
      <c r="A11" s="1" t="s">
        <v>29</v>
      </c>
      <c r="B11" s="1" t="s">
        <v>30</v>
      </c>
      <c r="C11" s="65">
        <v>0.124</v>
      </c>
      <c r="D11" s="65">
        <v>0.13200000000000001</v>
      </c>
      <c r="E11" s="65">
        <v>0.13200000000000001</v>
      </c>
      <c r="F11" s="24" t="s">
        <v>17</v>
      </c>
      <c r="G11" s="26" t="s">
        <v>194</v>
      </c>
      <c r="H11" s="27"/>
      <c r="I11" s="4" t="s">
        <v>74</v>
      </c>
      <c r="J11" s="6" t="s">
        <v>75</v>
      </c>
      <c r="K11" s="49">
        <f>0</f>
        <v>0</v>
      </c>
      <c r="L11" s="49">
        <f>0</f>
        <v>0</v>
      </c>
      <c r="M11" s="49">
        <v>3.2</v>
      </c>
      <c r="N11" s="30" t="s">
        <v>8</v>
      </c>
      <c r="O11" s="27"/>
      <c r="P11" s="27"/>
    </row>
    <row r="12" spans="1:16">
      <c r="A12" s="1" t="s">
        <v>32</v>
      </c>
      <c r="C12" s="34">
        <f>0.25</f>
        <v>0.25</v>
      </c>
      <c r="D12" s="34">
        <f>0.25</f>
        <v>0.25</v>
      </c>
      <c r="E12" s="34">
        <f>0.25</f>
        <v>0.25</v>
      </c>
      <c r="F12" s="24" t="s">
        <v>33</v>
      </c>
      <c r="G12" s="26" t="s">
        <v>194</v>
      </c>
      <c r="H12" s="27"/>
      <c r="I12" s="4" t="s">
        <v>77</v>
      </c>
      <c r="J12" s="4" t="s">
        <v>78</v>
      </c>
      <c r="K12" s="49">
        <v>1.55</v>
      </c>
      <c r="L12" s="49">
        <v>1.55</v>
      </c>
      <c r="M12" s="49">
        <v>1.55</v>
      </c>
      <c r="N12" s="30" t="s">
        <v>8</v>
      </c>
      <c r="O12" s="27"/>
      <c r="P12" s="27"/>
    </row>
    <row r="13" spans="1:16">
      <c r="A13" s="1" t="s">
        <v>36</v>
      </c>
      <c r="C13" s="34">
        <v>0.57999999999999996</v>
      </c>
      <c r="D13" s="34">
        <v>0.57999999999999996</v>
      </c>
      <c r="E13" s="34">
        <v>0.57999999999999996</v>
      </c>
      <c r="F13" s="24" t="s">
        <v>33</v>
      </c>
      <c r="G13" s="26" t="s">
        <v>194</v>
      </c>
      <c r="H13" s="27"/>
      <c r="I13" s="4" t="s">
        <v>80</v>
      </c>
      <c r="J13" s="4" t="s">
        <v>81</v>
      </c>
      <c r="K13" s="49">
        <v>3.2</v>
      </c>
      <c r="L13" s="49">
        <v>3.2</v>
      </c>
      <c r="M13" s="49">
        <f>0</f>
        <v>0</v>
      </c>
      <c r="N13" s="30" t="s">
        <v>8</v>
      </c>
      <c r="O13" s="27"/>
      <c r="P13" s="27"/>
    </row>
    <row r="14" spans="1:16">
      <c r="A14" s="1" t="s">
        <v>38</v>
      </c>
      <c r="B14" s="1" t="s">
        <v>39</v>
      </c>
      <c r="C14" s="38">
        <f>(C13-C12)*C10</f>
        <v>1.2045959726341573</v>
      </c>
      <c r="D14" s="38">
        <f>(D13-D12)*D10</f>
        <v>1.3619916321439536</v>
      </c>
      <c r="E14" s="38">
        <f>(E13-E12)*E10</f>
        <v>1.3641595789290633</v>
      </c>
      <c r="F14" s="24"/>
      <c r="G14" s="28"/>
      <c r="H14" s="27"/>
      <c r="I14" s="4" t="s">
        <v>83</v>
      </c>
      <c r="J14" s="4" t="s">
        <v>84</v>
      </c>
      <c r="K14" s="49">
        <f>0</f>
        <v>0</v>
      </c>
      <c r="L14" s="49">
        <f>0</f>
        <v>0</v>
      </c>
      <c r="M14" s="49">
        <v>5.74</v>
      </c>
      <c r="N14" s="30" t="s">
        <v>8</v>
      </c>
      <c r="O14" s="27"/>
      <c r="P14" s="27"/>
    </row>
    <row r="15" spans="1:16" ht="13.8" thickBot="1">
      <c r="A15" s="1" t="s">
        <v>41</v>
      </c>
      <c r="B15" s="1" t="s">
        <v>42</v>
      </c>
      <c r="C15" s="32">
        <f>C11*C10</f>
        <v>0.45263606244435006</v>
      </c>
      <c r="D15" s="32">
        <f>D11*D10</f>
        <v>0.5447966528575815</v>
      </c>
      <c r="E15" s="32">
        <f>E11*E10</f>
        <v>0.54566383157162546</v>
      </c>
      <c r="F15" s="24" t="s">
        <v>8</v>
      </c>
      <c r="G15" s="26" t="s">
        <v>195</v>
      </c>
      <c r="H15" s="27"/>
      <c r="I15" s="6" t="s">
        <v>71</v>
      </c>
      <c r="J15" s="4" t="s">
        <v>87</v>
      </c>
      <c r="K15" s="51">
        <v>2.2999999999999998</v>
      </c>
      <c r="L15" s="51">
        <v>2.2999999999999998</v>
      </c>
      <c r="M15" s="51">
        <v>2.2999999999999998</v>
      </c>
      <c r="N15" s="30" t="s">
        <v>8</v>
      </c>
      <c r="O15" s="27"/>
      <c r="P15" s="27"/>
    </row>
    <row r="16" spans="1:16" ht="27" thickBot="1">
      <c r="A16" s="1" t="s">
        <v>43</v>
      </c>
      <c r="B16" s="1" t="s">
        <v>44</v>
      </c>
      <c r="C16" s="67">
        <f>C14 * C15 * C4</f>
        <v>19.803461422427734</v>
      </c>
      <c r="D16" s="67">
        <f t="shared" ref="D16:E16" si="2">D14 * D15 * D4</f>
        <v>30.471402948634392</v>
      </c>
      <c r="E16" s="67">
        <f t="shared" si="2"/>
        <v>30.617143023100745</v>
      </c>
      <c r="F16" s="24" t="s">
        <v>45</v>
      </c>
      <c r="G16" s="28"/>
      <c r="H16" s="27"/>
      <c r="I16" s="9" t="s">
        <v>90</v>
      </c>
      <c r="J16" s="46" t="s">
        <v>91</v>
      </c>
      <c r="K16" s="52">
        <v>2.9660000000000002</v>
      </c>
      <c r="L16" s="52">
        <v>2.9660000000000002</v>
      </c>
      <c r="M16" s="52">
        <v>2.9660000000000002</v>
      </c>
      <c r="N16" s="47" t="s">
        <v>8</v>
      </c>
      <c r="O16" s="55" t="s">
        <v>195</v>
      </c>
      <c r="P16" s="27"/>
    </row>
    <row r="17" spans="1:16" ht="13.8" thickBot="1">
      <c r="A17" s="1" t="s">
        <v>47</v>
      </c>
      <c r="B17" s="1" t="s">
        <v>17</v>
      </c>
      <c r="C17" s="40" t="s">
        <v>17</v>
      </c>
      <c r="D17" s="40" t="s">
        <v>17</v>
      </c>
      <c r="E17" s="40" t="s">
        <v>17</v>
      </c>
      <c r="F17" s="24" t="s">
        <v>17</v>
      </c>
      <c r="G17" s="28"/>
      <c r="H17" s="27"/>
      <c r="I17" s="12" t="s">
        <v>93</v>
      </c>
      <c r="J17" s="12" t="s">
        <v>95</v>
      </c>
      <c r="K17" s="48">
        <f>16433.19</f>
        <v>16433.189999999999</v>
      </c>
      <c r="L17" s="48">
        <f>37325</f>
        <v>37325</v>
      </c>
      <c r="M17" s="44">
        <v>37580</v>
      </c>
      <c r="N17" s="31" t="s">
        <v>56</v>
      </c>
      <c r="O17" s="55" t="s">
        <v>197</v>
      </c>
      <c r="P17" s="27"/>
    </row>
    <row r="18" spans="1:16" ht="13.8" thickBot="1">
      <c r="A18" s="1" t="s">
        <v>109</v>
      </c>
      <c r="C18" s="65">
        <v>670642</v>
      </c>
      <c r="D18" s="65">
        <v>826682</v>
      </c>
      <c r="E18" s="65">
        <v>829310</v>
      </c>
      <c r="F18" s="24" t="s">
        <v>54</v>
      </c>
      <c r="G18" s="26" t="s">
        <v>194</v>
      </c>
      <c r="H18" s="27"/>
      <c r="I18" s="12" t="s">
        <v>94</v>
      </c>
      <c r="J18" s="12" t="s">
        <v>96</v>
      </c>
      <c r="K18" s="48">
        <f>1858.387324</f>
        <v>1858.387324</v>
      </c>
      <c r="L18" s="48">
        <f>M18</f>
        <v>4088.4521129999998</v>
      </c>
      <c r="M18" s="23">
        <v>4088.4521129999998</v>
      </c>
      <c r="N18" s="31" t="s">
        <v>56</v>
      </c>
      <c r="O18" s="55" t="s">
        <v>197</v>
      </c>
      <c r="P18" s="27"/>
    </row>
    <row r="19" spans="1:16">
      <c r="A19" s="1" t="s">
        <v>49</v>
      </c>
      <c r="C19" s="41">
        <f>20</f>
        <v>20</v>
      </c>
      <c r="D19" s="41">
        <f>20</f>
        <v>20</v>
      </c>
      <c r="E19" s="41">
        <f>20</f>
        <v>20</v>
      </c>
      <c r="F19" s="24" t="s">
        <v>17</v>
      </c>
      <c r="G19" s="26" t="s">
        <v>195</v>
      </c>
      <c r="H19" s="27"/>
      <c r="I19" s="12" t="s">
        <v>97</v>
      </c>
      <c r="J19" s="12" t="s">
        <v>99</v>
      </c>
      <c r="K19" s="48">
        <f>K20-8.13</f>
        <v>30</v>
      </c>
      <c r="L19" s="48">
        <f>L20-20.5</f>
        <v>29.75</v>
      </c>
      <c r="M19" s="48">
        <f>(M21/2) - 15</f>
        <v>8.25</v>
      </c>
      <c r="N19" s="31" t="s">
        <v>8</v>
      </c>
      <c r="O19" s="27"/>
      <c r="P19" s="27"/>
    </row>
    <row r="20" spans="1:16">
      <c r="A20" s="1" t="s">
        <v>50</v>
      </c>
      <c r="C20" s="42">
        <f>345*10^6</f>
        <v>345000000</v>
      </c>
      <c r="D20" s="42">
        <f>345*10^6</f>
        <v>345000000</v>
      </c>
      <c r="E20" s="42">
        <f>345*10^6</f>
        <v>345000000</v>
      </c>
      <c r="F20" s="24" t="s">
        <v>55</v>
      </c>
      <c r="G20" s="26" t="s">
        <v>195</v>
      </c>
      <c r="H20" s="27"/>
      <c r="I20" s="12" t="s">
        <v>98</v>
      </c>
      <c r="J20" s="12" t="s">
        <v>100</v>
      </c>
      <c r="K20" s="48">
        <f>K21-6</f>
        <v>38.130000000000003</v>
      </c>
      <c r="L20" s="48">
        <f>L21-6</f>
        <v>50.25</v>
      </c>
      <c r="M20" s="48">
        <f>(M21/2) + 15</f>
        <v>38.25</v>
      </c>
      <c r="N20" s="31" t="s">
        <v>8</v>
      </c>
      <c r="O20" s="27"/>
      <c r="P20" s="27"/>
    </row>
    <row r="21" spans="1:16">
      <c r="A21" s="1" t="s">
        <v>51</v>
      </c>
      <c r="C21" s="43">
        <f>0.6</f>
        <v>0.6</v>
      </c>
      <c r="D21" s="43">
        <f t="shared" ref="D21:E21" si="3">0.6</f>
        <v>0.6</v>
      </c>
      <c r="E21" s="43">
        <f t="shared" si="3"/>
        <v>0.6</v>
      </c>
      <c r="F21" s="24" t="s">
        <v>17</v>
      </c>
      <c r="G21" s="26" t="s">
        <v>195</v>
      </c>
      <c r="H21" s="27"/>
      <c r="I21" s="12" t="s">
        <v>130</v>
      </c>
      <c r="J21" s="12" t="s">
        <v>131</v>
      </c>
      <c r="K21" s="48">
        <f>44.13</f>
        <v>44.13</v>
      </c>
      <c r="L21" s="48">
        <f>56.25</f>
        <v>56.25</v>
      </c>
      <c r="M21" s="48">
        <f>46.5</f>
        <v>46.5</v>
      </c>
      <c r="N21" s="31" t="s">
        <v>8</v>
      </c>
      <c r="O21" s="55" t="s">
        <v>194</v>
      </c>
      <c r="P21" s="27"/>
    </row>
    <row r="22" spans="1:16">
      <c r="A22" s="1" t="s">
        <v>52</v>
      </c>
      <c r="C22" s="41">
        <f>1.5</f>
        <v>1.5</v>
      </c>
      <c r="D22" s="41">
        <f>1.5</f>
        <v>1.5</v>
      </c>
      <c r="E22" s="41">
        <f>1.5</f>
        <v>1.5</v>
      </c>
      <c r="F22" s="24" t="s">
        <v>17</v>
      </c>
      <c r="G22" s="26" t="s">
        <v>195</v>
      </c>
      <c r="H22" s="27"/>
      <c r="I22" s="12" t="s">
        <v>101</v>
      </c>
      <c r="J22" s="12" t="s">
        <v>102</v>
      </c>
      <c r="K22" s="48">
        <f>0.75</f>
        <v>0.75</v>
      </c>
      <c r="L22" s="48">
        <f>0.75</f>
        <v>0.75</v>
      </c>
      <c r="M22" s="48">
        <f>0.75</f>
        <v>0.75</v>
      </c>
      <c r="N22" s="31" t="s">
        <v>8</v>
      </c>
      <c r="O22" s="55" t="s">
        <v>195</v>
      </c>
      <c r="P22" s="27"/>
    </row>
    <row r="23" spans="1:16">
      <c r="A23" s="1" t="s">
        <v>124</v>
      </c>
      <c r="C23" s="41">
        <f>1724</f>
        <v>1724</v>
      </c>
      <c r="D23" s="41">
        <f>0</f>
        <v>0</v>
      </c>
      <c r="E23" s="41">
        <f>3000</f>
        <v>3000</v>
      </c>
      <c r="F23" s="24" t="s">
        <v>56</v>
      </c>
      <c r="G23" s="26" t="s">
        <v>196</v>
      </c>
      <c r="H23" s="27"/>
      <c r="I23" s="12" t="s">
        <v>103</v>
      </c>
      <c r="J23" s="12" t="s">
        <v>104</v>
      </c>
      <c r="K23" s="48">
        <f>K25/K26</f>
        <v>24</v>
      </c>
      <c r="L23" s="48">
        <f>L25/L26</f>
        <v>24</v>
      </c>
      <c r="M23" s="48">
        <f>M25/M26</f>
        <v>24</v>
      </c>
      <c r="N23" s="31" t="s">
        <v>17</v>
      </c>
      <c r="O23" s="55" t="s">
        <v>195</v>
      </c>
      <c r="P23" s="27"/>
    </row>
    <row r="24" spans="1:16">
      <c r="A24" s="1" t="s">
        <v>125</v>
      </c>
      <c r="C24" s="41">
        <f>0.4 * C4/2</f>
        <v>7.2640787440665875</v>
      </c>
      <c r="D24" s="41">
        <f>0</f>
        <v>0</v>
      </c>
      <c r="E24" s="41">
        <f>0.35 * E4/2</f>
        <v>7.1980086873037319</v>
      </c>
      <c r="F24" s="24" t="s">
        <v>8</v>
      </c>
      <c r="G24" s="26" t="s">
        <v>195</v>
      </c>
      <c r="H24" s="27"/>
      <c r="I24" s="12" t="s">
        <v>137</v>
      </c>
      <c r="J24" s="12" t="s">
        <v>138</v>
      </c>
      <c r="K24" s="48">
        <f>K23*K22</f>
        <v>18</v>
      </c>
      <c r="L24" s="48">
        <f>L23*L22</f>
        <v>18</v>
      </c>
      <c r="M24" s="48">
        <f>M23*M22</f>
        <v>18</v>
      </c>
      <c r="N24" s="31" t="s">
        <v>8</v>
      </c>
      <c r="O24" s="55" t="s">
        <v>195</v>
      </c>
      <c r="P24" s="27"/>
    </row>
    <row r="25" spans="1:16">
      <c r="A25" s="1" t="s">
        <v>53</v>
      </c>
      <c r="C25" s="44">
        <v>6981.2433860000001</v>
      </c>
      <c r="D25" s="41">
        <f>0</f>
        <v>0</v>
      </c>
      <c r="E25" s="41">
        <f>0</f>
        <v>0</v>
      </c>
      <c r="F25" s="24" t="s">
        <v>56</v>
      </c>
      <c r="G25" s="26" t="s">
        <v>197</v>
      </c>
      <c r="H25" s="27"/>
      <c r="I25" s="12" t="s">
        <v>113</v>
      </c>
      <c r="J25" s="12"/>
      <c r="K25" s="48">
        <f>120</f>
        <v>120</v>
      </c>
      <c r="L25" s="48">
        <f>120</f>
        <v>120</v>
      </c>
      <c r="M25" s="48">
        <f>120</f>
        <v>120</v>
      </c>
      <c r="N25" s="31" t="s">
        <v>17</v>
      </c>
      <c r="O25" s="55" t="s">
        <v>195</v>
      </c>
      <c r="P25" s="27"/>
    </row>
    <row r="26" spans="1:16">
      <c r="A26" s="1" t="s">
        <v>120</v>
      </c>
      <c r="C26" s="68">
        <f>0.01</f>
        <v>0.01</v>
      </c>
      <c r="D26" s="68">
        <f>0.01</f>
        <v>0.01</v>
      </c>
      <c r="E26" s="68">
        <f>0.01</f>
        <v>0.01</v>
      </c>
      <c r="F26" s="24" t="s">
        <v>8</v>
      </c>
      <c r="G26" s="26" t="s">
        <v>195</v>
      </c>
      <c r="H26" s="27"/>
      <c r="I26" s="12" t="s">
        <v>112</v>
      </c>
      <c r="J26" s="12" t="s">
        <v>139</v>
      </c>
      <c r="K26" s="48">
        <f>5</f>
        <v>5</v>
      </c>
      <c r="L26" s="48">
        <f>5</f>
        <v>5</v>
      </c>
      <c r="M26" s="48">
        <f>5</f>
        <v>5</v>
      </c>
      <c r="N26" s="31" t="s">
        <v>17</v>
      </c>
      <c r="O26" s="55" t="s">
        <v>195</v>
      </c>
      <c r="P26" s="27"/>
    </row>
    <row r="27" spans="1:16">
      <c r="A27" s="1" t="s">
        <v>121</v>
      </c>
      <c r="C27" s="42">
        <f>2.78 *1000</f>
        <v>2780</v>
      </c>
      <c r="D27" s="42">
        <f>2.78 *1000</f>
        <v>2780</v>
      </c>
      <c r="E27" s="42">
        <f>2.78 *1000</f>
        <v>2780</v>
      </c>
      <c r="F27" s="24" t="s">
        <v>123</v>
      </c>
      <c r="G27" s="26" t="s">
        <v>195</v>
      </c>
      <c r="H27" s="27"/>
      <c r="I27" s="12" t="s">
        <v>105</v>
      </c>
      <c r="J27" s="12" t="s">
        <v>106</v>
      </c>
      <c r="K27" s="48">
        <f>102.36</f>
        <v>102.36</v>
      </c>
      <c r="L27" s="48">
        <f>102.36</f>
        <v>102.36</v>
      </c>
      <c r="M27" s="48">
        <f>102.36</f>
        <v>102.36</v>
      </c>
      <c r="N27" s="31" t="s">
        <v>56</v>
      </c>
      <c r="O27" s="55" t="s">
        <v>195</v>
      </c>
      <c r="P27" s="27"/>
    </row>
    <row r="28" spans="1:16">
      <c r="A28" s="1" t="s">
        <v>122</v>
      </c>
      <c r="C28" s="45" t="s">
        <v>118</v>
      </c>
      <c r="D28" s="45" t="s">
        <v>118</v>
      </c>
      <c r="E28" s="45" t="s">
        <v>118</v>
      </c>
      <c r="F28" s="24" t="s">
        <v>17</v>
      </c>
      <c r="G28" s="26" t="s">
        <v>195</v>
      </c>
      <c r="H28" s="27"/>
      <c r="I28" s="12" t="s">
        <v>132</v>
      </c>
      <c r="J28" s="12" t="s">
        <v>146</v>
      </c>
      <c r="K28" s="48">
        <f>15</f>
        <v>15</v>
      </c>
      <c r="L28" s="48">
        <f>16</f>
        <v>16</v>
      </c>
      <c r="M28" s="48">
        <f>9.2</f>
        <v>9.1999999999999993</v>
      </c>
      <c r="N28" s="31" t="s">
        <v>8</v>
      </c>
      <c r="O28" s="27"/>
      <c r="P28" s="27"/>
    </row>
    <row r="29" spans="1:16">
      <c r="A29" s="1" t="s">
        <v>127</v>
      </c>
      <c r="C29" s="41">
        <f>1724</f>
        <v>1724</v>
      </c>
      <c r="D29" s="41">
        <f>0</f>
        <v>0</v>
      </c>
      <c r="E29" s="41">
        <f>0</f>
        <v>0</v>
      </c>
      <c r="F29" s="60" t="s">
        <v>56</v>
      </c>
      <c r="G29" s="26" t="s">
        <v>196</v>
      </c>
      <c r="H29" s="27"/>
      <c r="I29" s="12" t="s">
        <v>135</v>
      </c>
      <c r="J29" s="17" t="s">
        <v>136</v>
      </c>
      <c r="K29" s="48">
        <v>2000</v>
      </c>
      <c r="L29" s="48">
        <v>2000</v>
      </c>
      <c r="M29" s="48">
        <v>2000</v>
      </c>
      <c r="N29" s="31" t="s">
        <v>56</v>
      </c>
      <c r="O29" s="55" t="s">
        <v>198</v>
      </c>
      <c r="P29" s="27"/>
    </row>
    <row r="30" spans="1:16">
      <c r="A30" s="1" t="s">
        <v>128</v>
      </c>
      <c r="C30" s="41">
        <f xml:space="preserve"> 0.7 * (C4/2)</f>
        <v>12.712137802116528</v>
      </c>
      <c r="D30" s="41">
        <f>0</f>
        <v>0</v>
      </c>
      <c r="E30" s="41">
        <f>0</f>
        <v>0</v>
      </c>
      <c r="F30" s="60" t="s">
        <v>8</v>
      </c>
      <c r="G30" s="26" t="s">
        <v>195</v>
      </c>
      <c r="H30" s="27"/>
      <c r="I30" s="12" t="s">
        <v>143</v>
      </c>
      <c r="J30" s="12" t="s">
        <v>142</v>
      </c>
      <c r="K30" s="48">
        <f>10</f>
        <v>10</v>
      </c>
      <c r="L30" s="48">
        <f>10</f>
        <v>10</v>
      </c>
      <c r="M30" s="48">
        <f>10</f>
        <v>10</v>
      </c>
      <c r="N30" s="31" t="s">
        <v>8</v>
      </c>
      <c r="O30" s="55" t="s">
        <v>195</v>
      </c>
      <c r="P30" s="27"/>
    </row>
    <row r="31" spans="1:16">
      <c r="A31" s="58" t="s">
        <v>160</v>
      </c>
      <c r="C31" s="45" t="s">
        <v>161</v>
      </c>
      <c r="D31" s="45" t="s">
        <v>161</v>
      </c>
      <c r="E31" s="45" t="s">
        <v>161</v>
      </c>
      <c r="F31" s="61" t="s">
        <v>17</v>
      </c>
      <c r="I31" s="12" t="s">
        <v>140</v>
      </c>
      <c r="J31" s="12" t="s">
        <v>141</v>
      </c>
      <c r="K31" s="48">
        <f>2000</f>
        <v>2000</v>
      </c>
      <c r="L31" s="48">
        <f>2000</f>
        <v>2000</v>
      </c>
      <c r="M31" s="48">
        <f>2000</f>
        <v>2000</v>
      </c>
      <c r="N31" s="31" t="s">
        <v>56</v>
      </c>
      <c r="O31" s="55" t="s">
        <v>198</v>
      </c>
      <c r="P31" s="27"/>
    </row>
    <row r="32" spans="1:16">
      <c r="A32" s="58" t="s">
        <v>162</v>
      </c>
      <c r="C32" s="45" t="s">
        <v>163</v>
      </c>
      <c r="D32" s="45" t="s">
        <v>163</v>
      </c>
      <c r="E32" s="45" t="s">
        <v>163</v>
      </c>
      <c r="F32" s="61" t="s">
        <v>17</v>
      </c>
      <c r="I32" s="12" t="s">
        <v>144</v>
      </c>
      <c r="J32" s="12" t="s">
        <v>145</v>
      </c>
      <c r="K32" s="48">
        <f>20</f>
        <v>20</v>
      </c>
      <c r="L32" s="48">
        <f>20</f>
        <v>20</v>
      </c>
      <c r="M32" s="48">
        <f>20</f>
        <v>20</v>
      </c>
      <c r="N32" s="31" t="s">
        <v>8</v>
      </c>
      <c r="O32" s="55" t="s">
        <v>195</v>
      </c>
      <c r="P32" s="27"/>
    </row>
    <row r="33" spans="1:16" ht="13.8" thickBot="1">
      <c r="A33" s="58" t="s">
        <v>217</v>
      </c>
      <c r="C33" s="16">
        <v>7146.1616480000002</v>
      </c>
      <c r="D33" s="16">
        <v>10188.75691</v>
      </c>
      <c r="E33" s="16">
        <v>10244.935310000001</v>
      </c>
      <c r="F33" s="61" t="s">
        <v>56</v>
      </c>
      <c r="I33" s="12" t="s">
        <v>148</v>
      </c>
      <c r="J33" s="12" t="s">
        <v>147</v>
      </c>
      <c r="K33" s="48">
        <f>0</f>
        <v>0</v>
      </c>
      <c r="L33" s="48">
        <f>3000</f>
        <v>3000</v>
      </c>
      <c r="M33" s="48">
        <f>0</f>
        <v>0</v>
      </c>
      <c r="N33" s="31" t="s">
        <v>56</v>
      </c>
      <c r="O33" s="55" t="s">
        <v>196</v>
      </c>
      <c r="P33" s="27"/>
    </row>
    <row r="34" spans="1:16" ht="13.8" thickBot="1">
      <c r="A34" s="58" t="s">
        <v>218</v>
      </c>
      <c r="C34" s="65">
        <v>1740</v>
      </c>
      <c r="D34" s="65">
        <v>2118.5714290000001</v>
      </c>
      <c r="E34" s="65">
        <v>2125</v>
      </c>
      <c r="F34" s="61" t="s">
        <v>56</v>
      </c>
      <c r="I34" s="12" t="s">
        <v>149</v>
      </c>
      <c r="J34" s="12" t="s">
        <v>150</v>
      </c>
      <c r="K34" s="48">
        <f>0</f>
        <v>0</v>
      </c>
      <c r="L34" s="48">
        <f>L21-4</f>
        <v>52.25</v>
      </c>
      <c r="M34" s="48">
        <f>0</f>
        <v>0</v>
      </c>
      <c r="N34" s="31" t="s">
        <v>8</v>
      </c>
      <c r="O34" s="27"/>
      <c r="P34" s="27"/>
    </row>
    <row r="35" spans="1:16" ht="13.8" thickBot="1">
      <c r="A35" s="58" t="s">
        <v>219</v>
      </c>
      <c r="C35" s="41">
        <f>3.4</f>
        <v>3.4</v>
      </c>
      <c r="D35" s="41">
        <f>4.2</f>
        <v>4.2</v>
      </c>
      <c r="E35" s="43">
        <f>3.8</f>
        <v>3.8</v>
      </c>
      <c r="F35" s="61" t="s">
        <v>8</v>
      </c>
      <c r="I35" s="12" t="s">
        <v>152</v>
      </c>
      <c r="J35" s="12" t="s">
        <v>153</v>
      </c>
      <c r="K35" s="48">
        <f>6045.72389</f>
        <v>6045.7238900000002</v>
      </c>
      <c r="L35" s="65">
        <v>12029</v>
      </c>
      <c r="M35" s="65">
        <v>4797</v>
      </c>
      <c r="N35" s="31" t="s">
        <v>56</v>
      </c>
      <c r="O35" s="55" t="s">
        <v>199</v>
      </c>
      <c r="P35" s="27"/>
    </row>
    <row r="36" spans="1:16">
      <c r="I36" s="12" t="s">
        <v>155</v>
      </c>
      <c r="J36" s="12" t="s">
        <v>155</v>
      </c>
      <c r="K36" s="71">
        <f>B54</f>
        <v>22763.405034000003</v>
      </c>
      <c r="L36" s="71">
        <f t="shared" ref="L36:M36" si="4">C54</f>
        <v>12307.328339</v>
      </c>
      <c r="M36" s="71">
        <f t="shared" si="4"/>
        <v>18369.935310000001</v>
      </c>
      <c r="N36" s="31" t="s">
        <v>56</v>
      </c>
      <c r="O36" s="55" t="s">
        <v>199</v>
      </c>
      <c r="P36" s="27"/>
    </row>
    <row r="37" spans="1:16" ht="20.399999999999999">
      <c r="A37" s="124" t="s">
        <v>182</v>
      </c>
      <c r="B37" s="124"/>
      <c r="C37" s="124"/>
      <c r="D37" s="124"/>
      <c r="E37" s="108"/>
      <c r="F37" s="108"/>
      <c r="I37" s="12" t="s">
        <v>156</v>
      </c>
      <c r="J37" s="12" t="s">
        <v>158</v>
      </c>
      <c r="K37" s="48">
        <v>0</v>
      </c>
      <c r="L37" s="48">
        <v>0</v>
      </c>
      <c r="M37" s="48">
        <f>1.55</f>
        <v>1.55</v>
      </c>
      <c r="N37" s="31" t="s">
        <v>8</v>
      </c>
      <c r="O37" s="55" t="s">
        <v>195</v>
      </c>
      <c r="P37" s="27"/>
    </row>
    <row r="38" spans="1:16">
      <c r="A38" s="108"/>
      <c r="B38" s="109" t="s">
        <v>295</v>
      </c>
      <c r="C38" s="109" t="s">
        <v>296</v>
      </c>
      <c r="D38" s="109" t="s">
        <v>297</v>
      </c>
      <c r="E38" s="109" t="s">
        <v>298</v>
      </c>
      <c r="F38" s="109" t="s">
        <v>114</v>
      </c>
      <c r="I38" s="12" t="s">
        <v>160</v>
      </c>
      <c r="J38" s="5"/>
      <c r="K38" s="54" t="s">
        <v>161</v>
      </c>
      <c r="L38" s="54" t="s">
        <v>161</v>
      </c>
      <c r="M38" s="54" t="s">
        <v>161</v>
      </c>
      <c r="N38" s="29"/>
      <c r="O38" s="55" t="s">
        <v>195</v>
      </c>
      <c r="P38" s="27"/>
    </row>
    <row r="39" spans="1:16">
      <c r="A39" s="109" t="s">
        <v>183</v>
      </c>
      <c r="B39" s="116">
        <v>2780</v>
      </c>
      <c r="C39" s="116">
        <v>1800</v>
      </c>
      <c r="D39" s="116">
        <v>2520</v>
      </c>
      <c r="E39" s="108">
        <v>2450</v>
      </c>
      <c r="F39" s="109" t="s">
        <v>123</v>
      </c>
      <c r="I39" s="12" t="s">
        <v>164</v>
      </c>
      <c r="J39" s="5"/>
      <c r="K39" s="45" t="s">
        <v>118</v>
      </c>
      <c r="L39" s="45" t="s">
        <v>118</v>
      </c>
      <c r="M39" s="45" t="s">
        <v>118</v>
      </c>
      <c r="N39" s="29"/>
      <c r="O39" s="55" t="s">
        <v>195</v>
      </c>
      <c r="P39" s="27"/>
    </row>
    <row r="40" spans="1:16">
      <c r="A40" s="109" t="s">
        <v>185</v>
      </c>
      <c r="B40" s="116">
        <v>345000000</v>
      </c>
      <c r="C40" s="118" t="s">
        <v>17</v>
      </c>
      <c r="D40" s="118" t="s">
        <v>17</v>
      </c>
      <c r="E40" s="108"/>
      <c r="F40" s="109" t="s">
        <v>55</v>
      </c>
      <c r="I40" s="12" t="s">
        <v>159</v>
      </c>
      <c r="J40" s="5"/>
      <c r="K40" s="42">
        <f>345*10^6</f>
        <v>345000000</v>
      </c>
      <c r="L40" s="42">
        <f>345*10^6</f>
        <v>345000000</v>
      </c>
      <c r="M40" s="42">
        <f>345*10^6</f>
        <v>345000000</v>
      </c>
      <c r="N40" s="31" t="s">
        <v>55</v>
      </c>
      <c r="O40" s="55" t="s">
        <v>195</v>
      </c>
      <c r="P40" s="27"/>
    </row>
    <row r="41" spans="1:16">
      <c r="A41" s="109" t="s">
        <v>186</v>
      </c>
      <c r="B41" s="116">
        <v>483000000</v>
      </c>
      <c r="C41" s="116">
        <v>3290000000</v>
      </c>
      <c r="D41" s="116">
        <v>992000000</v>
      </c>
      <c r="E41" s="108">
        <v>843000000</v>
      </c>
      <c r="F41" s="109" t="s">
        <v>55</v>
      </c>
      <c r="I41" s="12" t="s">
        <v>162</v>
      </c>
      <c r="J41" s="5"/>
      <c r="K41" s="54" t="s">
        <v>163</v>
      </c>
      <c r="L41" s="54" t="s">
        <v>163</v>
      </c>
      <c r="M41" s="54" t="s">
        <v>163</v>
      </c>
      <c r="N41" s="29"/>
      <c r="O41" s="55" t="s">
        <v>195</v>
      </c>
      <c r="P41" s="27"/>
    </row>
    <row r="42" spans="1:16">
      <c r="A42" s="109" t="s">
        <v>187</v>
      </c>
      <c r="B42" s="118" t="s">
        <v>17</v>
      </c>
      <c r="C42" s="116">
        <v>0.6</v>
      </c>
      <c r="D42" s="116">
        <v>0.6</v>
      </c>
      <c r="E42" s="108">
        <v>0.6</v>
      </c>
      <c r="F42" s="109" t="s">
        <v>17</v>
      </c>
      <c r="I42" s="12" t="s">
        <v>165</v>
      </c>
      <c r="J42" s="5"/>
      <c r="K42" s="54" t="s">
        <v>167</v>
      </c>
      <c r="L42" s="54" t="s">
        <v>167</v>
      </c>
      <c r="M42" s="54" t="s">
        <v>167</v>
      </c>
      <c r="N42" s="29"/>
      <c r="O42" s="55" t="s">
        <v>195</v>
      </c>
      <c r="P42" s="27"/>
    </row>
    <row r="43" spans="1:16">
      <c r="A43" s="109" t="s">
        <v>188</v>
      </c>
      <c r="B43" s="118" t="s">
        <v>17</v>
      </c>
      <c r="C43" s="116">
        <v>4</v>
      </c>
      <c r="D43" s="116">
        <v>4</v>
      </c>
      <c r="E43" s="108">
        <v>4</v>
      </c>
      <c r="F43" s="109" t="s">
        <v>17</v>
      </c>
      <c r="I43" s="12" t="s">
        <v>166</v>
      </c>
      <c r="J43" s="5"/>
      <c r="K43" s="54">
        <f>3400 * 10^6</f>
        <v>3400000000</v>
      </c>
      <c r="L43" s="54">
        <f>3400 * 10^6</f>
        <v>3400000000</v>
      </c>
      <c r="M43" s="54">
        <f>3400 * 10^6</f>
        <v>3400000000</v>
      </c>
      <c r="N43" s="29" t="s">
        <v>55</v>
      </c>
      <c r="O43" s="55" t="s">
        <v>195</v>
      </c>
      <c r="P43" s="27"/>
    </row>
    <row r="44" spans="1:16">
      <c r="A44" s="109" t="s">
        <v>189</v>
      </c>
      <c r="B44" s="108" t="s">
        <v>190</v>
      </c>
      <c r="C44" s="108" t="s">
        <v>191</v>
      </c>
      <c r="D44" s="109" t="s">
        <v>192</v>
      </c>
      <c r="E44" s="109" t="s">
        <v>17</v>
      </c>
      <c r="F44" s="108"/>
      <c r="I44" s="12" t="s">
        <v>168</v>
      </c>
      <c r="J44" s="5"/>
      <c r="K44" s="54">
        <f>0.6</f>
        <v>0.6</v>
      </c>
      <c r="L44" s="54">
        <f t="shared" ref="L44:M44" si="5">0.6</f>
        <v>0.6</v>
      </c>
      <c r="M44" s="54">
        <f t="shared" si="5"/>
        <v>0.6</v>
      </c>
      <c r="N44" s="29" t="s">
        <v>17</v>
      </c>
      <c r="O44" s="55" t="s">
        <v>195</v>
      </c>
      <c r="P44" s="27"/>
    </row>
    <row r="45" spans="1:16">
      <c r="I45" s="12" t="s">
        <v>169</v>
      </c>
      <c r="J45" s="5"/>
      <c r="K45" s="69">
        <f>0.025</f>
        <v>2.5000000000000001E-2</v>
      </c>
      <c r="L45" s="69">
        <f t="shared" ref="L45:M45" si="6">0.025</f>
        <v>2.5000000000000001E-2</v>
      </c>
      <c r="M45" s="69">
        <f t="shared" si="6"/>
        <v>2.5000000000000001E-2</v>
      </c>
      <c r="N45" s="29" t="s">
        <v>8</v>
      </c>
      <c r="O45" s="55" t="s">
        <v>195</v>
      </c>
      <c r="P45" s="27"/>
    </row>
    <row r="46" spans="1:16">
      <c r="I46" s="12" t="s">
        <v>170</v>
      </c>
      <c r="J46" s="5"/>
      <c r="K46" s="69">
        <f>0.01</f>
        <v>0.01</v>
      </c>
      <c r="L46" s="69">
        <f>0.01</f>
        <v>0.01</v>
      </c>
      <c r="M46" s="69">
        <f>0.01</f>
        <v>0.01</v>
      </c>
      <c r="N46" s="29" t="s">
        <v>8</v>
      </c>
      <c r="O46" s="55" t="s">
        <v>195</v>
      </c>
      <c r="P46" s="27"/>
    </row>
    <row r="47" spans="1:16" ht="17.399999999999999">
      <c r="A47" s="126" t="s">
        <v>224</v>
      </c>
      <c r="B47" s="126"/>
      <c r="C47" s="126"/>
      <c r="D47" s="126"/>
      <c r="E47" s="126"/>
      <c r="I47" s="12" t="s">
        <v>171</v>
      </c>
      <c r="J47" s="5"/>
      <c r="K47" s="48">
        <f>1</f>
        <v>1</v>
      </c>
      <c r="L47" s="48">
        <f>1</f>
        <v>1</v>
      </c>
      <c r="M47" s="48">
        <f>1</f>
        <v>1</v>
      </c>
      <c r="N47" s="29" t="s">
        <v>8</v>
      </c>
      <c r="O47" s="55" t="s">
        <v>195</v>
      </c>
      <c r="P47" s="27"/>
    </row>
    <row r="48" spans="1:16">
      <c r="B48" s="18" t="s">
        <v>176</v>
      </c>
      <c r="C48" s="18" t="s">
        <v>177</v>
      </c>
      <c r="D48" s="18" t="s">
        <v>178</v>
      </c>
      <c r="I48" s="12" t="s">
        <v>175</v>
      </c>
      <c r="J48" s="5"/>
      <c r="K48" s="48">
        <v>0</v>
      </c>
      <c r="L48" s="48">
        <v>0</v>
      </c>
      <c r="M48" s="48">
        <f>M11</f>
        <v>3.2</v>
      </c>
      <c r="N48" s="29" t="s">
        <v>8</v>
      </c>
      <c r="O48" s="55" t="s">
        <v>195</v>
      </c>
      <c r="P48" s="27"/>
    </row>
    <row r="49" spans="1:16">
      <c r="B49" s="21" t="s">
        <v>2</v>
      </c>
      <c r="C49" s="20"/>
      <c r="D49" s="20"/>
      <c r="E49" s="22" t="s">
        <v>114</v>
      </c>
      <c r="I49" s="12" t="s">
        <v>172</v>
      </c>
      <c r="J49" s="5"/>
      <c r="K49" s="54">
        <f>2780</f>
        <v>2780</v>
      </c>
      <c r="L49" s="54">
        <f>2780</f>
        <v>2780</v>
      </c>
      <c r="M49" s="54">
        <f>2780</f>
        <v>2780</v>
      </c>
      <c r="N49" s="29" t="s">
        <v>123</v>
      </c>
      <c r="O49" s="55" t="s">
        <v>195</v>
      </c>
      <c r="P49" s="27"/>
    </row>
    <row r="50" spans="1:16">
      <c r="A50" s="16" t="s">
        <v>217</v>
      </c>
      <c r="B50" s="16">
        <v>7146.1616480000002</v>
      </c>
      <c r="C50" s="16">
        <v>10188.75691</v>
      </c>
      <c r="D50" s="16">
        <v>10244.935310000001</v>
      </c>
      <c r="E50" s="16" t="s">
        <v>56</v>
      </c>
      <c r="I50" s="12" t="s">
        <v>173</v>
      </c>
      <c r="J50" s="5"/>
      <c r="K50" s="54">
        <f>1600</f>
        <v>1600</v>
      </c>
      <c r="L50" s="54">
        <f>1600</f>
        <v>1600</v>
      </c>
      <c r="M50" s="54">
        <f>1600</f>
        <v>1600</v>
      </c>
      <c r="N50" s="29" t="s">
        <v>123</v>
      </c>
      <c r="O50" s="55" t="s">
        <v>195</v>
      </c>
      <c r="P50" s="27"/>
    </row>
    <row r="51" spans="1:16" ht="13.8" thickBot="1">
      <c r="A51" s="16" t="s">
        <v>225</v>
      </c>
      <c r="B51" s="23">
        <f>4 * C23</f>
        <v>6896</v>
      </c>
      <c r="C51" s="70">
        <f>0</f>
        <v>0</v>
      </c>
      <c r="D51" s="70">
        <f>2 *E23</f>
        <v>6000</v>
      </c>
      <c r="E51" s="16" t="s">
        <v>56</v>
      </c>
      <c r="I51" s="12" t="s">
        <v>174</v>
      </c>
      <c r="J51" s="5"/>
      <c r="K51" s="54">
        <f>4</f>
        <v>4</v>
      </c>
      <c r="L51" s="54">
        <f>4</f>
        <v>4</v>
      </c>
      <c r="M51" s="54">
        <f>4</f>
        <v>4</v>
      </c>
      <c r="N51" s="29" t="s">
        <v>17</v>
      </c>
      <c r="O51" s="55" t="s">
        <v>195</v>
      </c>
      <c r="P51" s="27"/>
    </row>
    <row r="52" spans="1:16" ht="13.8" thickBot="1">
      <c r="A52" s="16" t="s">
        <v>227</v>
      </c>
      <c r="B52" s="70">
        <f>C25</f>
        <v>6981.2433860000001</v>
      </c>
      <c r="C52" s="70">
        <v>0</v>
      </c>
      <c r="D52" s="70">
        <v>0</v>
      </c>
      <c r="E52" s="16" t="s">
        <v>56</v>
      </c>
      <c r="I52" s="12" t="s">
        <v>221</v>
      </c>
      <c r="K52" s="65">
        <v>676</v>
      </c>
      <c r="L52" s="65">
        <v>847.42857140000001</v>
      </c>
      <c r="M52" s="65">
        <v>850</v>
      </c>
      <c r="N52" s="25" t="s">
        <v>56</v>
      </c>
    </row>
    <row r="53" spans="1:16" ht="13.8" thickBot="1">
      <c r="A53" s="16" t="s">
        <v>226</v>
      </c>
      <c r="B53" s="65">
        <v>1740</v>
      </c>
      <c r="C53" s="65">
        <v>2118.5714290000001</v>
      </c>
      <c r="D53" s="65">
        <v>2125</v>
      </c>
      <c r="E53" s="16" t="s">
        <v>56</v>
      </c>
      <c r="I53" s="12" t="s">
        <v>222</v>
      </c>
      <c r="K53" s="41">
        <f>5</f>
        <v>5</v>
      </c>
      <c r="L53" s="41">
        <f>6.5</f>
        <v>6.5</v>
      </c>
      <c r="M53" s="41">
        <v>4.5999999999999996</v>
      </c>
      <c r="N53" s="25" t="s">
        <v>8</v>
      </c>
    </row>
    <row r="54" spans="1:16">
      <c r="A54" s="16" t="s">
        <v>228</v>
      </c>
      <c r="B54" s="71">
        <f>SUM(B50:B53)</f>
        <v>22763.405034000003</v>
      </c>
      <c r="C54" s="71">
        <f t="shared" ref="C54:D54" si="7">SUM(C50:C53)</f>
        <v>12307.328339</v>
      </c>
      <c r="D54" s="71">
        <f t="shared" si="7"/>
        <v>18369.935310000001</v>
      </c>
      <c r="E54" s="16" t="s">
        <v>56</v>
      </c>
    </row>
  </sheetData>
  <mergeCells count="4">
    <mergeCell ref="A1:E1"/>
    <mergeCell ref="I1:N1"/>
    <mergeCell ref="A47:E47"/>
    <mergeCell ref="A37:D37"/>
  </mergeCells>
  <conditionalFormatting sqref="C4">
    <cfRule type="notContainsBlanks" dxfId="11" priority="3">
      <formula>LEN(TRIM(C4))&gt;0</formula>
    </cfRule>
  </conditionalFormatting>
  <conditionalFormatting sqref="D4">
    <cfRule type="notContainsBlanks" dxfId="10" priority="2">
      <formula>LEN(TRIM(D4))&gt;0</formula>
    </cfRule>
  </conditionalFormatting>
  <conditionalFormatting sqref="E4">
    <cfRule type="notContainsBlanks" dxfId="9" priority="1">
      <formula>LEN(TRIM(E4))&gt;0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9E10-FD8E-4E62-B083-FADB31B74E44}">
  <dimension ref="A1:X71"/>
  <sheetViews>
    <sheetView topLeftCell="A49" workbookViewId="0">
      <selection activeCell="J63" sqref="J63:N68"/>
    </sheetView>
  </sheetViews>
  <sheetFormatPr defaultRowHeight="13.2"/>
  <cols>
    <col min="10" max="10" width="12.109375" customWidth="1"/>
    <col min="11" max="11" width="15.21875" customWidth="1"/>
    <col min="12" max="12" width="15.5546875" customWidth="1"/>
    <col min="13" max="13" width="18.109375" customWidth="1"/>
    <col min="14" max="14" width="7.21875" customWidth="1"/>
  </cols>
  <sheetData>
    <row r="1" spans="1:19" ht="20.399999999999999">
      <c r="A1" s="125" t="s">
        <v>180</v>
      </c>
      <c r="B1" s="125"/>
      <c r="C1" s="125"/>
      <c r="D1" s="125"/>
      <c r="E1" s="125"/>
      <c r="F1" s="125"/>
    </row>
    <row r="2" spans="1:19">
      <c r="C2" s="18" t="s">
        <v>176</v>
      </c>
      <c r="D2" s="18" t="s">
        <v>177</v>
      </c>
      <c r="E2" s="18" t="s">
        <v>178</v>
      </c>
      <c r="K2" s="20" t="s">
        <v>237</v>
      </c>
      <c r="L2" s="20"/>
      <c r="M2" s="20"/>
      <c r="N2" s="20"/>
    </row>
    <row r="3" spans="1:19">
      <c r="A3" s="21" t="s">
        <v>0</v>
      </c>
      <c r="B3" s="22" t="s">
        <v>1</v>
      </c>
      <c r="C3" s="21" t="s">
        <v>2</v>
      </c>
      <c r="D3" s="20"/>
      <c r="E3" s="20"/>
      <c r="F3" s="22" t="s">
        <v>114</v>
      </c>
      <c r="G3" s="20" t="s">
        <v>193</v>
      </c>
      <c r="J3" s="77" t="s">
        <v>0</v>
      </c>
      <c r="K3" s="77" t="s">
        <v>250</v>
      </c>
      <c r="L3" s="77" t="s">
        <v>251</v>
      </c>
      <c r="M3" s="77" t="s">
        <v>252</v>
      </c>
      <c r="N3" s="77" t="s">
        <v>114</v>
      </c>
      <c r="O3" s="77" t="s">
        <v>229</v>
      </c>
      <c r="P3" s="16" t="s">
        <v>238</v>
      </c>
      <c r="R3" s="18" t="s">
        <v>237</v>
      </c>
      <c r="S3" s="18" t="s">
        <v>239</v>
      </c>
    </row>
    <row r="4" spans="1:19">
      <c r="A4" s="5" t="s">
        <v>107</v>
      </c>
      <c r="B4" s="5"/>
      <c r="C4" s="48">
        <f>ROUND((C21/C22),0)</f>
        <v>59</v>
      </c>
      <c r="D4" s="48">
        <f>ROUND((D21/D22),0)</f>
        <v>75</v>
      </c>
      <c r="E4" s="48">
        <f>ROUND((E21/E22),0)</f>
        <v>62</v>
      </c>
      <c r="F4" s="29"/>
      <c r="G4" s="55" t="s">
        <v>195</v>
      </c>
      <c r="H4" s="27"/>
      <c r="J4" s="78" t="s">
        <v>240</v>
      </c>
      <c r="K4" s="79">
        <v>670642</v>
      </c>
      <c r="L4" s="79">
        <v>826682</v>
      </c>
      <c r="M4" s="79">
        <v>829310</v>
      </c>
      <c r="N4" s="78" t="s">
        <v>241</v>
      </c>
      <c r="O4" s="78" t="s">
        <v>194</v>
      </c>
      <c r="P4" s="16" t="s">
        <v>230</v>
      </c>
    </row>
    <row r="5" spans="1:19">
      <c r="A5" s="4" t="s">
        <v>59</v>
      </c>
      <c r="B5" s="4" t="s">
        <v>60</v>
      </c>
      <c r="C5" s="49">
        <v>2500</v>
      </c>
      <c r="D5" s="49">
        <v>2500</v>
      </c>
      <c r="E5" s="49">
        <v>2500</v>
      </c>
      <c r="F5" s="30" t="s">
        <v>8</v>
      </c>
      <c r="G5" s="55" t="s">
        <v>195</v>
      </c>
      <c r="H5" s="27"/>
      <c r="J5" s="78" t="s">
        <v>233</v>
      </c>
      <c r="K5" s="79">
        <v>1740</v>
      </c>
      <c r="L5" s="79">
        <v>2118.5714290000001</v>
      </c>
      <c r="M5" s="79">
        <v>2125</v>
      </c>
      <c r="N5" s="78" t="s">
        <v>242</v>
      </c>
      <c r="O5" s="78" t="s">
        <v>244</v>
      </c>
      <c r="P5" s="16" t="s">
        <v>231</v>
      </c>
    </row>
    <row r="6" spans="1:19">
      <c r="A6" s="4" t="s">
        <v>62</v>
      </c>
      <c r="B6" s="4" t="s">
        <v>63</v>
      </c>
      <c r="C6" s="49">
        <v>8900</v>
      </c>
      <c r="D6" s="49">
        <v>8900</v>
      </c>
      <c r="E6" s="49">
        <v>8900</v>
      </c>
      <c r="F6" s="30" t="s">
        <v>8</v>
      </c>
      <c r="G6" s="55" t="s">
        <v>195</v>
      </c>
      <c r="H6" s="27"/>
      <c r="J6" s="78" t="s">
        <v>234</v>
      </c>
      <c r="K6" s="80">
        <f>1724</f>
        <v>1724</v>
      </c>
      <c r="L6" s="80">
        <f>0</f>
        <v>0</v>
      </c>
      <c r="M6" s="80">
        <f>3000</f>
        <v>3000</v>
      </c>
      <c r="N6" s="78" t="s">
        <v>242</v>
      </c>
      <c r="O6" s="78" t="s">
        <v>196</v>
      </c>
      <c r="P6" s="16" t="s">
        <v>232</v>
      </c>
    </row>
    <row r="7" spans="1:19">
      <c r="A7" s="4" t="s">
        <v>65</v>
      </c>
      <c r="B7" s="4" t="s">
        <v>66</v>
      </c>
      <c r="C7" s="49">
        <f t="shared" ref="C7:E8" si="0">101325*(1-(0.0000225577)*(C5))^5.25588</f>
        <v>74682.512282813492</v>
      </c>
      <c r="D7" s="49">
        <f t="shared" si="0"/>
        <v>74682.512282813492</v>
      </c>
      <c r="E7" s="49">
        <f t="shared" si="0"/>
        <v>74682.512282813492</v>
      </c>
      <c r="F7" s="30" t="s">
        <v>55</v>
      </c>
      <c r="G7" s="55" t="s">
        <v>195</v>
      </c>
      <c r="H7" s="27"/>
      <c r="J7" s="78" t="s">
        <v>235</v>
      </c>
      <c r="K7" s="79">
        <v>7536</v>
      </c>
      <c r="L7" s="79">
        <v>10741</v>
      </c>
      <c r="M7" s="79">
        <v>10804</v>
      </c>
      <c r="N7" s="78" t="s">
        <v>242</v>
      </c>
      <c r="O7" s="78" t="s">
        <v>244</v>
      </c>
    </row>
    <row r="8" spans="1:19">
      <c r="A8" s="4" t="s">
        <v>67</v>
      </c>
      <c r="B8" s="4" t="s">
        <v>68</v>
      </c>
      <c r="C8" s="49">
        <f t="shared" si="0"/>
        <v>31202.517202843417</v>
      </c>
      <c r="D8" s="49">
        <f t="shared" si="0"/>
        <v>31202.517202843417</v>
      </c>
      <c r="E8" s="49">
        <f t="shared" si="0"/>
        <v>31202.517202843417</v>
      </c>
      <c r="F8" s="30" t="s">
        <v>55</v>
      </c>
      <c r="G8" s="55" t="s">
        <v>195</v>
      </c>
      <c r="H8" s="27"/>
      <c r="J8" s="78" t="s">
        <v>236</v>
      </c>
      <c r="K8" s="81">
        <v>6981.2433860000001</v>
      </c>
      <c r="L8" s="80">
        <f>0</f>
        <v>0</v>
      </c>
      <c r="M8" s="80">
        <f>0</f>
        <v>0</v>
      </c>
      <c r="N8" s="78" t="s">
        <v>242</v>
      </c>
      <c r="O8" s="78" t="s">
        <v>245</v>
      </c>
    </row>
    <row r="9" spans="1:19">
      <c r="A9" s="6" t="s">
        <v>69</v>
      </c>
      <c r="B9" s="4" t="s">
        <v>70</v>
      </c>
      <c r="C9" s="49">
        <f>C7-C8</f>
        <v>43479.995079970075</v>
      </c>
      <c r="D9" s="49">
        <f>D7-D8</f>
        <v>43479.995079970075</v>
      </c>
      <c r="E9" s="49">
        <f>E7-E8</f>
        <v>43479.995079970075</v>
      </c>
      <c r="F9" s="30" t="s">
        <v>55</v>
      </c>
      <c r="G9" s="55" t="s">
        <v>195</v>
      </c>
      <c r="H9" s="27"/>
      <c r="J9" s="78" t="s">
        <v>253</v>
      </c>
      <c r="K9" s="80">
        <f>3.4</f>
        <v>3.4</v>
      </c>
      <c r="L9" s="80">
        <f>4.2</f>
        <v>4.2</v>
      </c>
      <c r="M9" s="80">
        <f>3.8</f>
        <v>3.8</v>
      </c>
      <c r="N9" s="78" t="s">
        <v>243</v>
      </c>
      <c r="O9" s="78" t="s">
        <v>246</v>
      </c>
    </row>
    <row r="10" spans="1:19">
      <c r="A10" s="4" t="s">
        <v>71</v>
      </c>
      <c r="B10" s="4" t="s">
        <v>72</v>
      </c>
      <c r="C10" s="50">
        <f>0</f>
        <v>0</v>
      </c>
      <c r="D10" s="50">
        <f>0</f>
        <v>0</v>
      </c>
      <c r="E10" s="50">
        <v>2.54</v>
      </c>
      <c r="F10" s="30" t="s">
        <v>8</v>
      </c>
      <c r="G10" s="27"/>
      <c r="H10" s="27"/>
      <c r="J10" s="78" t="s">
        <v>254</v>
      </c>
      <c r="K10" s="82">
        <v>7.0578807017404301</v>
      </c>
      <c r="L10" s="84">
        <v>0</v>
      </c>
      <c r="M10" s="82">
        <v>7.1980086873037319</v>
      </c>
      <c r="N10" s="78" t="s">
        <v>243</v>
      </c>
      <c r="O10" s="78" t="s">
        <v>246</v>
      </c>
    </row>
    <row r="11" spans="1:19">
      <c r="A11" s="4" t="s">
        <v>74</v>
      </c>
      <c r="B11" s="6" t="s">
        <v>75</v>
      </c>
      <c r="C11" s="49">
        <f>0</f>
        <v>0</v>
      </c>
      <c r="D11" s="49">
        <f>0</f>
        <v>0</v>
      </c>
      <c r="E11" s="49">
        <v>3.2</v>
      </c>
      <c r="F11" s="30" t="s">
        <v>8</v>
      </c>
      <c r="G11" s="27"/>
      <c r="H11" s="27"/>
      <c r="J11" s="78" t="s">
        <v>255</v>
      </c>
      <c r="K11" s="83">
        <v>12.351291228045753</v>
      </c>
      <c r="L11" s="85">
        <v>0</v>
      </c>
      <c r="M11" s="85">
        <v>0</v>
      </c>
      <c r="N11" s="78" t="s">
        <v>243</v>
      </c>
      <c r="O11" s="78" t="s">
        <v>246</v>
      </c>
    </row>
    <row r="12" spans="1:19">
      <c r="A12" s="4" t="s">
        <v>77</v>
      </c>
      <c r="B12" s="4" t="s">
        <v>78</v>
      </c>
      <c r="C12" s="49">
        <v>1.55</v>
      </c>
      <c r="D12" s="49">
        <v>1.55</v>
      </c>
      <c r="E12" s="49">
        <v>1.55</v>
      </c>
      <c r="F12" s="30" t="s">
        <v>8</v>
      </c>
      <c r="G12" s="27"/>
      <c r="H12" s="27"/>
      <c r="J12" s="86" t="s">
        <v>247</v>
      </c>
      <c r="K12" s="57">
        <f>1.5</f>
        <v>1.5</v>
      </c>
      <c r="L12" s="57">
        <f t="shared" ref="L12:M12" si="1">1.5</f>
        <v>1.5</v>
      </c>
      <c r="M12" s="57">
        <f t="shared" si="1"/>
        <v>1.5</v>
      </c>
      <c r="N12" s="86" t="s">
        <v>248</v>
      </c>
      <c r="O12" s="86" t="s">
        <v>195</v>
      </c>
    </row>
    <row r="13" spans="1:19">
      <c r="A13" s="4" t="s">
        <v>80</v>
      </c>
      <c r="B13" s="4" t="s">
        <v>81</v>
      </c>
      <c r="C13" s="49">
        <v>3.2</v>
      </c>
      <c r="D13" s="49">
        <v>3.2</v>
      </c>
      <c r="E13" s="49">
        <f>0</f>
        <v>0</v>
      </c>
      <c r="F13" s="30" t="s">
        <v>8</v>
      </c>
      <c r="G13" s="27"/>
      <c r="H13" s="27"/>
    </row>
    <row r="14" spans="1:19">
      <c r="A14" s="4" t="s">
        <v>83</v>
      </c>
      <c r="B14" s="4" t="s">
        <v>84</v>
      </c>
      <c r="C14" s="49">
        <f>0</f>
        <v>0</v>
      </c>
      <c r="D14" s="49">
        <f>0</f>
        <v>0</v>
      </c>
      <c r="E14" s="49">
        <v>5.74</v>
      </c>
      <c r="F14" s="30" t="s">
        <v>8</v>
      </c>
      <c r="G14" s="27"/>
      <c r="H14" s="27"/>
      <c r="K14" s="20" t="s">
        <v>239</v>
      </c>
    </row>
    <row r="15" spans="1:19" ht="13.8" thickBot="1">
      <c r="A15" s="6" t="s">
        <v>71</v>
      </c>
      <c r="B15" s="4" t="s">
        <v>87</v>
      </c>
      <c r="C15" s="51">
        <v>2.2999999999999998</v>
      </c>
      <c r="D15" s="51">
        <v>2.2999999999999998</v>
      </c>
      <c r="E15" s="51">
        <v>2.2999999999999998</v>
      </c>
      <c r="F15" s="30" t="s">
        <v>8</v>
      </c>
      <c r="G15" s="27"/>
      <c r="H15" s="27"/>
      <c r="J15" s="77" t="s">
        <v>0</v>
      </c>
      <c r="K15" s="77" t="s">
        <v>250</v>
      </c>
      <c r="L15" s="77" t="s">
        <v>251</v>
      </c>
      <c r="M15" s="77" t="s">
        <v>252</v>
      </c>
      <c r="N15" s="77" t="s">
        <v>114</v>
      </c>
      <c r="O15" s="77" t="s">
        <v>229</v>
      </c>
    </row>
    <row r="16" spans="1:19" ht="53.4" thickBot="1">
      <c r="A16" s="9" t="s">
        <v>90</v>
      </c>
      <c r="B16" s="46" t="s">
        <v>91</v>
      </c>
      <c r="C16" s="52">
        <v>2.9660000000000002</v>
      </c>
      <c r="D16" s="52">
        <v>2.9660000000000002</v>
      </c>
      <c r="E16" s="52">
        <v>2.9660000000000002</v>
      </c>
      <c r="F16" s="47" t="s">
        <v>8</v>
      </c>
      <c r="G16" s="55" t="s">
        <v>195</v>
      </c>
      <c r="H16" s="27"/>
      <c r="J16" s="16" t="s">
        <v>236</v>
      </c>
      <c r="K16" s="87">
        <f>SUM(C17:C18)</f>
        <v>18291.577323999998</v>
      </c>
      <c r="L16" s="87">
        <f t="shared" ref="L16:M16" si="2">SUM(D17:D18)</f>
        <v>41413.452112999999</v>
      </c>
      <c r="M16" s="87">
        <f t="shared" si="2"/>
        <v>41668.452112999999</v>
      </c>
      <c r="N16" s="78" t="s">
        <v>242</v>
      </c>
      <c r="O16" s="16" t="s">
        <v>245</v>
      </c>
    </row>
    <row r="17" spans="1:22">
      <c r="A17" s="12" t="s">
        <v>93</v>
      </c>
      <c r="B17" s="12" t="s">
        <v>95</v>
      </c>
      <c r="C17" s="48">
        <f>16433.19</f>
        <v>16433.189999999999</v>
      </c>
      <c r="D17" s="48">
        <f>37325</f>
        <v>37325</v>
      </c>
      <c r="E17" s="44">
        <v>37580</v>
      </c>
      <c r="F17" s="31" t="s">
        <v>56</v>
      </c>
      <c r="G17" s="55" t="s">
        <v>197</v>
      </c>
      <c r="H17" s="27"/>
      <c r="J17" s="16" t="s">
        <v>267</v>
      </c>
      <c r="K17" s="64">
        <f>102.36</f>
        <v>102.36</v>
      </c>
      <c r="L17" s="64">
        <f>102.36</f>
        <v>102.36</v>
      </c>
      <c r="M17" s="64">
        <f>102.36</f>
        <v>102.36</v>
      </c>
      <c r="N17" s="86" t="s">
        <v>242</v>
      </c>
      <c r="O17" s="16" t="s">
        <v>245</v>
      </c>
    </row>
    <row r="18" spans="1:22" ht="13.8" thickBot="1">
      <c r="A18" s="12" t="s">
        <v>94</v>
      </c>
      <c r="B18" s="12" t="s">
        <v>96</v>
      </c>
      <c r="C18" s="48">
        <f>1858.387324</f>
        <v>1858.387324</v>
      </c>
      <c r="D18" s="48">
        <f>E18</f>
        <v>4088.4521129999998</v>
      </c>
      <c r="E18" s="23">
        <v>4088.4521129999998</v>
      </c>
      <c r="F18" s="31" t="s">
        <v>56</v>
      </c>
      <c r="G18" s="55" t="s">
        <v>197</v>
      </c>
      <c r="H18" s="27"/>
      <c r="J18" s="16" t="s">
        <v>257</v>
      </c>
      <c r="K18" s="76">
        <f>120*K17</f>
        <v>12283.2</v>
      </c>
      <c r="L18" s="76">
        <f t="shared" ref="L18:M18" si="3">120*L17</f>
        <v>12283.2</v>
      </c>
      <c r="M18" s="76">
        <f t="shared" si="3"/>
        <v>12283.2</v>
      </c>
      <c r="N18" s="78" t="s">
        <v>242</v>
      </c>
      <c r="O18" s="16" t="s">
        <v>245</v>
      </c>
    </row>
    <row r="19" spans="1:22" ht="13.8" thickBot="1">
      <c r="A19" s="12" t="s">
        <v>97</v>
      </c>
      <c r="B19" s="12" t="s">
        <v>99</v>
      </c>
      <c r="C19" s="48">
        <f>C20-8.13</f>
        <v>30</v>
      </c>
      <c r="D19" s="48">
        <f>D20-20.5</f>
        <v>29.75</v>
      </c>
      <c r="E19" s="48">
        <f>(E21/2) - 15</f>
        <v>8.25</v>
      </c>
      <c r="F19" s="31" t="s">
        <v>8</v>
      </c>
      <c r="G19" s="27"/>
      <c r="H19" s="27"/>
      <c r="J19" s="16" t="s">
        <v>258</v>
      </c>
      <c r="K19" s="88">
        <f>6045.72389</f>
        <v>6045.7238900000002</v>
      </c>
      <c r="L19" s="74">
        <v>12029</v>
      </c>
      <c r="M19" s="74">
        <v>4797</v>
      </c>
      <c r="N19" s="78" t="s">
        <v>242</v>
      </c>
      <c r="O19" s="16" t="s">
        <v>244</v>
      </c>
    </row>
    <row r="20" spans="1:22" ht="13.8" thickBot="1">
      <c r="A20" s="12" t="s">
        <v>98</v>
      </c>
      <c r="B20" s="12" t="s">
        <v>100</v>
      </c>
      <c r="C20" s="48">
        <f>C21-6</f>
        <v>38.130000000000003</v>
      </c>
      <c r="D20" s="48">
        <f>D21-6</f>
        <v>50.25</v>
      </c>
      <c r="E20" s="48">
        <f>(E21/2) + 15</f>
        <v>38.25</v>
      </c>
      <c r="F20" s="31" t="s">
        <v>8</v>
      </c>
      <c r="G20" s="27"/>
      <c r="H20" s="27"/>
      <c r="J20" s="16" t="s">
        <v>249</v>
      </c>
      <c r="K20" s="74">
        <v>676</v>
      </c>
      <c r="L20" s="74">
        <v>847.42857140000001</v>
      </c>
      <c r="M20" s="74">
        <v>850</v>
      </c>
      <c r="N20" s="78" t="s">
        <v>242</v>
      </c>
      <c r="O20" s="16" t="s">
        <v>244</v>
      </c>
    </row>
    <row r="21" spans="1:22">
      <c r="A21" s="12" t="s">
        <v>130</v>
      </c>
      <c r="B21" s="12" t="s">
        <v>131</v>
      </c>
      <c r="C21" s="48">
        <f>44.13</f>
        <v>44.13</v>
      </c>
      <c r="D21" s="48">
        <f>56.25</f>
        <v>56.25</v>
      </c>
      <c r="E21" s="48">
        <f>46.5</f>
        <v>46.5</v>
      </c>
      <c r="F21" s="31" t="s">
        <v>8</v>
      </c>
      <c r="G21" s="55" t="s">
        <v>194</v>
      </c>
      <c r="H21" s="27"/>
      <c r="J21" s="16" t="s">
        <v>256</v>
      </c>
      <c r="K21" s="64">
        <v>2000</v>
      </c>
      <c r="L21" s="64">
        <v>2000</v>
      </c>
      <c r="M21" s="64">
        <v>2000</v>
      </c>
      <c r="N21" s="78" t="s">
        <v>242</v>
      </c>
      <c r="O21" s="16" t="s">
        <v>245</v>
      </c>
    </row>
    <row r="22" spans="1:22">
      <c r="A22" s="12" t="s">
        <v>101</v>
      </c>
      <c r="B22" s="12" t="s">
        <v>102</v>
      </c>
      <c r="C22" s="48">
        <f>0.75</f>
        <v>0.75</v>
      </c>
      <c r="D22" s="48">
        <f>0.75</f>
        <v>0.75</v>
      </c>
      <c r="E22" s="48">
        <f>0.75</f>
        <v>0.75</v>
      </c>
      <c r="F22" s="31" t="s">
        <v>8</v>
      </c>
      <c r="G22" s="55" t="s">
        <v>195</v>
      </c>
      <c r="H22" s="27"/>
      <c r="J22" s="16" t="s">
        <v>259</v>
      </c>
      <c r="K22" s="87">
        <v>23153.243385999998</v>
      </c>
      <c r="L22" s="87">
        <v>12859.571429</v>
      </c>
      <c r="M22" s="87">
        <v>18929</v>
      </c>
      <c r="N22" s="78" t="s">
        <v>242</v>
      </c>
      <c r="O22" s="16" t="s">
        <v>268</v>
      </c>
    </row>
    <row r="23" spans="1:22">
      <c r="A23" s="12" t="s">
        <v>103</v>
      </c>
      <c r="B23" s="12" t="s">
        <v>104</v>
      </c>
      <c r="C23" s="48">
        <f>C25/C26</f>
        <v>24</v>
      </c>
      <c r="D23" s="48">
        <f>D25/D26</f>
        <v>24</v>
      </c>
      <c r="E23" s="48">
        <f>E25/E26</f>
        <v>24</v>
      </c>
      <c r="F23" s="31" t="s">
        <v>17</v>
      </c>
      <c r="G23" s="55" t="s">
        <v>195</v>
      </c>
      <c r="H23" s="27"/>
      <c r="J23" s="16" t="s">
        <v>260</v>
      </c>
      <c r="K23" s="64">
        <f>2000</f>
        <v>2000</v>
      </c>
      <c r="L23" s="64">
        <f>2000</f>
        <v>2000</v>
      </c>
      <c r="M23" s="64">
        <f>2000</f>
        <v>2000</v>
      </c>
      <c r="N23" s="78" t="s">
        <v>242</v>
      </c>
      <c r="O23" s="16" t="s">
        <v>245</v>
      </c>
    </row>
    <row r="24" spans="1:22">
      <c r="A24" s="12" t="s">
        <v>137</v>
      </c>
      <c r="B24" s="12" t="s">
        <v>138</v>
      </c>
      <c r="C24" s="48">
        <f>C23*C22</f>
        <v>18</v>
      </c>
      <c r="D24" s="48">
        <f>D23*D22</f>
        <v>18</v>
      </c>
      <c r="E24" s="48">
        <f>E23*E22</f>
        <v>18</v>
      </c>
      <c r="F24" s="31" t="s">
        <v>8</v>
      </c>
      <c r="G24" s="55" t="s">
        <v>195</v>
      </c>
      <c r="H24" s="27"/>
      <c r="J24" s="16" t="s">
        <v>261</v>
      </c>
      <c r="K24" s="64">
        <f>0</f>
        <v>0</v>
      </c>
      <c r="L24" s="64">
        <f>6000</f>
        <v>6000</v>
      </c>
      <c r="M24" s="64">
        <f>0</f>
        <v>0</v>
      </c>
      <c r="N24" s="78" t="s">
        <v>242</v>
      </c>
      <c r="O24" s="16" t="s">
        <v>196</v>
      </c>
    </row>
    <row r="25" spans="1:22">
      <c r="A25" s="12" t="s">
        <v>113</v>
      </c>
      <c r="B25" s="12"/>
      <c r="C25" s="48">
        <f>120</f>
        <v>120</v>
      </c>
      <c r="D25" s="48">
        <f>120</f>
        <v>120</v>
      </c>
      <c r="E25" s="48">
        <f>120</f>
        <v>120</v>
      </c>
      <c r="F25" s="31" t="s">
        <v>17</v>
      </c>
      <c r="G25" s="55" t="s">
        <v>195</v>
      </c>
      <c r="H25" s="27"/>
      <c r="J25" s="16" t="s">
        <v>262</v>
      </c>
      <c r="K25" s="75">
        <f>5</f>
        <v>5</v>
      </c>
      <c r="L25" s="75">
        <f>6.5</f>
        <v>6.5</v>
      </c>
      <c r="M25" s="75">
        <v>4.5999999999999996</v>
      </c>
      <c r="N25" s="78" t="s">
        <v>243</v>
      </c>
      <c r="O25" s="16" t="s">
        <v>246</v>
      </c>
    </row>
    <row r="26" spans="1:22">
      <c r="A26" s="12" t="s">
        <v>112</v>
      </c>
      <c r="B26" s="12" t="s">
        <v>139</v>
      </c>
      <c r="C26" s="48">
        <f>5</f>
        <v>5</v>
      </c>
      <c r="D26" s="48">
        <f>5</f>
        <v>5</v>
      </c>
      <c r="E26" s="48">
        <f>5</f>
        <v>5</v>
      </c>
      <c r="F26" s="31" t="s">
        <v>17</v>
      </c>
      <c r="G26" s="55" t="s">
        <v>195</v>
      </c>
      <c r="H26" s="27"/>
      <c r="J26" s="16" t="s">
        <v>263</v>
      </c>
      <c r="K26" s="64">
        <f>10</f>
        <v>10</v>
      </c>
      <c r="L26" s="64">
        <f>10</f>
        <v>10</v>
      </c>
      <c r="M26" s="64">
        <f>10</f>
        <v>10</v>
      </c>
      <c r="N26" s="78" t="s">
        <v>243</v>
      </c>
      <c r="O26" s="16" t="s">
        <v>246</v>
      </c>
    </row>
    <row r="27" spans="1:22">
      <c r="A27" s="12" t="s">
        <v>105</v>
      </c>
      <c r="B27" s="12" t="s">
        <v>106</v>
      </c>
      <c r="C27" s="48">
        <f>102.36</f>
        <v>102.36</v>
      </c>
      <c r="D27" s="48">
        <f>102.36</f>
        <v>102.36</v>
      </c>
      <c r="E27" s="48">
        <f>102.36</f>
        <v>102.36</v>
      </c>
      <c r="F27" s="31" t="s">
        <v>56</v>
      </c>
      <c r="G27" s="55" t="s">
        <v>195</v>
      </c>
      <c r="H27" s="27"/>
      <c r="J27" s="16" t="s">
        <v>264</v>
      </c>
      <c r="K27" s="64">
        <f>15</f>
        <v>15</v>
      </c>
      <c r="L27" s="64">
        <f>16</f>
        <v>16</v>
      </c>
      <c r="M27" s="64">
        <v>15</v>
      </c>
      <c r="N27" s="78" t="s">
        <v>243</v>
      </c>
      <c r="O27" s="16" t="s">
        <v>246</v>
      </c>
    </row>
    <row r="28" spans="1:22">
      <c r="A28" s="12" t="s">
        <v>132</v>
      </c>
      <c r="B28" s="12" t="s">
        <v>146</v>
      </c>
      <c r="C28" s="48">
        <f>15</f>
        <v>15</v>
      </c>
      <c r="D28" s="48">
        <f>16</f>
        <v>16</v>
      </c>
      <c r="E28" s="48">
        <f>9.2</f>
        <v>9.1999999999999993</v>
      </c>
      <c r="F28" s="31" t="s">
        <v>8</v>
      </c>
      <c r="G28" s="27"/>
      <c r="H28" s="27"/>
      <c r="J28" s="16" t="s">
        <v>265</v>
      </c>
      <c r="K28" s="64">
        <f>20</f>
        <v>20</v>
      </c>
      <c r="L28" s="64">
        <f>20</f>
        <v>20</v>
      </c>
      <c r="M28" s="64">
        <f>20</f>
        <v>20</v>
      </c>
      <c r="N28" s="78" t="s">
        <v>243</v>
      </c>
      <c r="O28" s="16" t="s">
        <v>246</v>
      </c>
    </row>
    <row r="29" spans="1:22">
      <c r="A29" s="12" t="s">
        <v>135</v>
      </c>
      <c r="B29" s="17" t="s">
        <v>136</v>
      </c>
      <c r="C29" s="48">
        <v>2000</v>
      </c>
      <c r="D29" s="48">
        <v>2000</v>
      </c>
      <c r="E29" s="48">
        <v>2000</v>
      </c>
      <c r="F29" s="31" t="s">
        <v>56</v>
      </c>
      <c r="G29" s="55" t="s">
        <v>198</v>
      </c>
      <c r="H29" s="27"/>
      <c r="J29" s="16" t="s">
        <v>266</v>
      </c>
      <c r="K29" s="76">
        <v>0</v>
      </c>
      <c r="L29" s="76">
        <v>52.25</v>
      </c>
      <c r="M29" s="76">
        <v>0</v>
      </c>
      <c r="N29" s="78" t="s">
        <v>243</v>
      </c>
      <c r="O29" s="16" t="s">
        <v>246</v>
      </c>
    </row>
    <row r="30" spans="1:22">
      <c r="A30" s="12" t="s">
        <v>143</v>
      </c>
      <c r="B30" s="12" t="s">
        <v>142</v>
      </c>
      <c r="C30" s="48">
        <f>10</f>
        <v>10</v>
      </c>
      <c r="D30" s="48">
        <f>10</f>
        <v>10</v>
      </c>
      <c r="E30" s="48">
        <f>10</f>
        <v>10</v>
      </c>
      <c r="F30" s="31" t="s">
        <v>8</v>
      </c>
      <c r="G30" s="55" t="s">
        <v>195</v>
      </c>
      <c r="H30" s="27"/>
      <c r="J30" s="86" t="s">
        <v>247</v>
      </c>
      <c r="K30" s="80">
        <f>1.5</f>
        <v>1.5</v>
      </c>
      <c r="L30" s="80">
        <f t="shared" ref="L30:M30" si="4">1.5</f>
        <v>1.5</v>
      </c>
      <c r="M30" s="80">
        <f t="shared" si="4"/>
        <v>1.5</v>
      </c>
      <c r="N30" s="86" t="s">
        <v>248</v>
      </c>
      <c r="O30" s="86" t="s">
        <v>195</v>
      </c>
    </row>
    <row r="31" spans="1:22" ht="20.399999999999999">
      <c r="A31" s="12" t="s">
        <v>140</v>
      </c>
      <c r="B31" s="12" t="s">
        <v>141</v>
      </c>
      <c r="C31" s="48">
        <f>2000</f>
        <v>2000</v>
      </c>
      <c r="D31" s="48">
        <f>2000</f>
        <v>2000</v>
      </c>
      <c r="E31" s="48">
        <f>2000</f>
        <v>2000</v>
      </c>
      <c r="F31" s="31" t="s">
        <v>56</v>
      </c>
      <c r="G31" s="55" t="s">
        <v>198</v>
      </c>
      <c r="K31" s="76"/>
      <c r="L31" s="76"/>
      <c r="M31" s="76"/>
      <c r="R31" s="125" t="s">
        <v>179</v>
      </c>
      <c r="S31" s="125"/>
      <c r="T31" s="125"/>
      <c r="U31" s="125"/>
      <c r="V31" s="125"/>
    </row>
    <row r="32" spans="1:22">
      <c r="A32" s="12" t="s">
        <v>144</v>
      </c>
      <c r="B32" s="12" t="s">
        <v>145</v>
      </c>
      <c r="C32" s="48">
        <f>20</f>
        <v>20</v>
      </c>
      <c r="D32" s="48">
        <f>20</f>
        <v>20</v>
      </c>
      <c r="E32" s="48">
        <f>20</f>
        <v>20</v>
      </c>
      <c r="F32" s="31" t="s">
        <v>8</v>
      </c>
      <c r="G32" s="55" t="s">
        <v>195</v>
      </c>
      <c r="J32" s="16" t="s">
        <v>269</v>
      </c>
      <c r="R32" s="16" t="s">
        <v>181</v>
      </c>
      <c r="T32" s="18" t="s">
        <v>176</v>
      </c>
      <c r="U32" s="18" t="s">
        <v>177</v>
      </c>
      <c r="V32" s="18" t="s">
        <v>178</v>
      </c>
    </row>
    <row r="33" spans="1:24">
      <c r="A33" s="12" t="s">
        <v>148</v>
      </c>
      <c r="B33" s="12" t="s">
        <v>147</v>
      </c>
      <c r="C33" s="48">
        <f>0</f>
        <v>0</v>
      </c>
      <c r="D33" s="48">
        <f>3000</f>
        <v>3000</v>
      </c>
      <c r="E33" s="48">
        <f>0</f>
        <v>0</v>
      </c>
      <c r="F33" s="31" t="s">
        <v>56</v>
      </c>
      <c r="G33" s="55" t="s">
        <v>196</v>
      </c>
      <c r="J33" s="77" t="s">
        <v>0</v>
      </c>
      <c r="K33" s="77" t="s">
        <v>250</v>
      </c>
      <c r="L33" s="77" t="s">
        <v>251</v>
      </c>
      <c r="M33" s="77" t="s">
        <v>252</v>
      </c>
      <c r="N33" s="77" t="s">
        <v>114</v>
      </c>
      <c r="O33" s="77" t="s">
        <v>229</v>
      </c>
      <c r="R33" s="19" t="s">
        <v>0</v>
      </c>
      <c r="S33" s="19" t="s">
        <v>1</v>
      </c>
      <c r="T33" s="19" t="s">
        <v>2</v>
      </c>
      <c r="U33" s="20"/>
      <c r="V33" s="20"/>
      <c r="W33" s="19" t="s">
        <v>3</v>
      </c>
      <c r="X33" s="19" t="s">
        <v>193</v>
      </c>
    </row>
    <row r="34" spans="1:24" ht="13.8" thickBot="1">
      <c r="A34" s="12" t="s">
        <v>149</v>
      </c>
      <c r="B34" s="12" t="s">
        <v>150</v>
      </c>
      <c r="C34" s="48">
        <f>0</f>
        <v>0</v>
      </c>
      <c r="D34" s="48">
        <f>D21-4</f>
        <v>52.25</v>
      </c>
      <c r="E34" s="48">
        <f>0</f>
        <v>0</v>
      </c>
      <c r="F34" s="31" t="s">
        <v>8</v>
      </c>
      <c r="G34" s="27"/>
      <c r="J34" s="1" t="s">
        <v>7</v>
      </c>
      <c r="K34" s="91">
        <f>SQRT(K35*K36)</f>
        <v>35.289403508702151</v>
      </c>
      <c r="L34" s="91">
        <f>SQRT(L35*L36)</f>
        <v>41.066111332825272</v>
      </c>
      <c r="M34" s="91">
        <f>SQRT(M35*M36)</f>
        <v>41.131478213164186</v>
      </c>
      <c r="N34" s="92" t="s">
        <v>243</v>
      </c>
      <c r="O34" s="92" t="s">
        <v>194</v>
      </c>
      <c r="R34" s="1" t="s">
        <v>6</v>
      </c>
      <c r="S34" s="1" t="s">
        <v>7</v>
      </c>
      <c r="T34" s="66">
        <f>SQRT(T35*T36)</f>
        <v>35.289403508702151</v>
      </c>
      <c r="U34" s="66">
        <f>SQRT(U35*U36)</f>
        <v>41.066111332825272</v>
      </c>
      <c r="V34" s="66">
        <f>SQRT(V35*V36)</f>
        <v>41.131478213164186</v>
      </c>
      <c r="W34" s="24" t="s">
        <v>8</v>
      </c>
      <c r="X34" s="26" t="s">
        <v>194</v>
      </c>
    </row>
    <row r="35" spans="1:24" ht="13.8" thickBot="1">
      <c r="A35" s="12" t="s">
        <v>152</v>
      </c>
      <c r="B35" s="12" t="s">
        <v>153</v>
      </c>
      <c r="C35" s="48">
        <f>6045.72389</f>
        <v>6045.7238900000002</v>
      </c>
      <c r="D35" s="65">
        <v>12029</v>
      </c>
      <c r="E35" s="65">
        <v>4797</v>
      </c>
      <c r="F35" s="31" t="s">
        <v>56</v>
      </c>
      <c r="G35" s="55" t="s">
        <v>199</v>
      </c>
      <c r="J35" s="1" t="s">
        <v>11</v>
      </c>
      <c r="K35" s="74">
        <v>125.16</v>
      </c>
      <c r="L35" s="74">
        <v>169.49</v>
      </c>
      <c r="M35" s="74">
        <v>170.03</v>
      </c>
      <c r="N35" s="92" t="s">
        <v>279</v>
      </c>
      <c r="O35" s="92" t="s">
        <v>194</v>
      </c>
      <c r="R35" s="1" t="s">
        <v>10</v>
      </c>
      <c r="S35" s="1" t="s">
        <v>11</v>
      </c>
      <c r="T35" s="65">
        <v>125.16</v>
      </c>
      <c r="U35" s="65">
        <v>169.49</v>
      </c>
      <c r="V35" s="65">
        <v>170.03</v>
      </c>
      <c r="W35" s="24" t="s">
        <v>12</v>
      </c>
      <c r="X35" s="26" t="s">
        <v>194</v>
      </c>
    </row>
    <row r="36" spans="1:24">
      <c r="A36" s="12" t="s">
        <v>155</v>
      </c>
      <c r="B36" s="12" t="s">
        <v>155</v>
      </c>
      <c r="C36" s="71">
        <v>23153.243386000002</v>
      </c>
      <c r="D36" s="71">
        <v>12859.571429</v>
      </c>
      <c r="E36" s="71">
        <v>18929</v>
      </c>
      <c r="F36" s="31" t="s">
        <v>56</v>
      </c>
      <c r="G36" s="55" t="s">
        <v>199</v>
      </c>
      <c r="J36" s="58" t="s">
        <v>271</v>
      </c>
      <c r="K36" s="66">
        <f>9.95</f>
        <v>9.9499999999999993</v>
      </c>
      <c r="L36" s="66">
        <f t="shared" ref="L36:M36" si="5">9.95</f>
        <v>9.9499999999999993</v>
      </c>
      <c r="M36" s="66">
        <f t="shared" si="5"/>
        <v>9.9499999999999993</v>
      </c>
      <c r="N36" s="92" t="s">
        <v>248</v>
      </c>
      <c r="O36" s="92" t="s">
        <v>194</v>
      </c>
      <c r="R36" s="1" t="s">
        <v>15</v>
      </c>
      <c r="S36" s="1" t="s">
        <v>16</v>
      </c>
      <c r="T36" s="32">
        <f>9.95</f>
        <v>9.9499999999999993</v>
      </c>
      <c r="U36" s="32">
        <f t="shared" ref="U36:V36" si="6">9.95</f>
        <v>9.9499999999999993</v>
      </c>
      <c r="V36" s="32">
        <f t="shared" si="6"/>
        <v>9.9499999999999993</v>
      </c>
      <c r="W36" s="24" t="s">
        <v>17</v>
      </c>
      <c r="X36" s="26" t="s">
        <v>194</v>
      </c>
    </row>
    <row r="37" spans="1:24">
      <c r="A37" s="12" t="s">
        <v>156</v>
      </c>
      <c r="B37" s="12" t="s">
        <v>158</v>
      </c>
      <c r="C37" s="48">
        <v>0</v>
      </c>
      <c r="D37" s="48">
        <v>0</v>
      </c>
      <c r="E37" s="48">
        <f>1.55</f>
        <v>1.55</v>
      </c>
      <c r="F37" s="31" t="s">
        <v>8</v>
      </c>
      <c r="G37" s="55" t="s">
        <v>195</v>
      </c>
      <c r="J37" s="1" t="s">
        <v>19</v>
      </c>
      <c r="K37" s="93">
        <v>0.22</v>
      </c>
      <c r="L37" s="93">
        <v>0.22</v>
      </c>
      <c r="M37" s="93">
        <v>0.22</v>
      </c>
      <c r="N37" s="92" t="s">
        <v>248</v>
      </c>
      <c r="O37" s="92" t="s">
        <v>194</v>
      </c>
      <c r="R37" s="1" t="s">
        <v>18</v>
      </c>
      <c r="S37" s="1" t="s">
        <v>19</v>
      </c>
      <c r="T37" s="34">
        <v>0.22</v>
      </c>
      <c r="U37" s="34">
        <v>0.22</v>
      </c>
      <c r="V37" s="34">
        <v>0.22</v>
      </c>
      <c r="W37" s="24" t="s">
        <v>17</v>
      </c>
      <c r="X37" s="26" t="s">
        <v>194</v>
      </c>
    </row>
    <row r="38" spans="1:24">
      <c r="A38" s="12" t="s">
        <v>160</v>
      </c>
      <c r="B38" s="5"/>
      <c r="C38" s="54" t="s">
        <v>161</v>
      </c>
      <c r="D38" s="54" t="s">
        <v>161</v>
      </c>
      <c r="E38" s="54" t="s">
        <v>161</v>
      </c>
      <c r="F38" s="29"/>
      <c r="G38" s="55" t="s">
        <v>195</v>
      </c>
      <c r="J38" s="1" t="s">
        <v>22</v>
      </c>
      <c r="K38" s="91">
        <f>(2*K35)/(K34*(K37+1))</f>
        <v>5.8142192122418912</v>
      </c>
      <c r="L38" s="91">
        <f>(2*L35)/(L34*(L37+1))</f>
        <v>6.7659792953003164</v>
      </c>
      <c r="M38" s="91">
        <f>(2*M35)/(M34*(M37+1))</f>
        <v>6.7767490259764696</v>
      </c>
      <c r="N38" s="92" t="s">
        <v>243</v>
      </c>
      <c r="O38" s="92" t="s">
        <v>194</v>
      </c>
      <c r="R38" s="1" t="s">
        <v>21</v>
      </c>
      <c r="S38" s="1" t="s">
        <v>22</v>
      </c>
      <c r="T38" s="32">
        <f>(2*T35)/(T34*(T37+1))</f>
        <v>5.8142192122418912</v>
      </c>
      <c r="U38" s="32">
        <f>(2*U35)/(U34*(U37+1))</f>
        <v>6.7659792953003164</v>
      </c>
      <c r="V38" s="32">
        <f>(2*V35)/(V34*(V37+1))</f>
        <v>6.7767490259764696</v>
      </c>
      <c r="W38" s="24" t="s">
        <v>8</v>
      </c>
      <c r="X38" s="26" t="s">
        <v>194</v>
      </c>
    </row>
    <row r="39" spans="1:24">
      <c r="A39" s="12" t="s">
        <v>164</v>
      </c>
      <c r="B39" s="5"/>
      <c r="C39" s="45" t="s">
        <v>118</v>
      </c>
      <c r="D39" s="45" t="s">
        <v>118</v>
      </c>
      <c r="E39" s="45" t="s">
        <v>118</v>
      </c>
      <c r="F39" s="29"/>
      <c r="G39" s="55" t="s">
        <v>195</v>
      </c>
      <c r="J39" s="1" t="s">
        <v>26</v>
      </c>
      <c r="K39" s="91">
        <f>K38*K37</f>
        <v>1.279128226693216</v>
      </c>
      <c r="L39" s="91">
        <f>L38*L37</f>
        <v>1.4885154449660696</v>
      </c>
      <c r="M39" s="91">
        <f>M38*M37</f>
        <v>1.4908847857148233</v>
      </c>
      <c r="N39" s="92" t="s">
        <v>243</v>
      </c>
      <c r="O39" s="92" t="s">
        <v>194</v>
      </c>
      <c r="R39" s="1" t="s">
        <v>25</v>
      </c>
      <c r="S39" s="1" t="s">
        <v>26</v>
      </c>
      <c r="T39" s="32">
        <f>T38*T37</f>
        <v>1.279128226693216</v>
      </c>
      <c r="U39" s="32">
        <f>U38*U37</f>
        <v>1.4885154449660696</v>
      </c>
      <c r="V39" s="32">
        <f>V38*V37</f>
        <v>1.4908847857148233</v>
      </c>
      <c r="W39" s="24" t="s">
        <v>8</v>
      </c>
      <c r="X39" s="26" t="s">
        <v>194</v>
      </c>
    </row>
    <row r="40" spans="1:24" ht="13.8" thickBot="1">
      <c r="A40" s="12" t="s">
        <v>159</v>
      </c>
      <c r="B40" s="5"/>
      <c r="C40" s="42">
        <f>345*10^6</f>
        <v>345000000</v>
      </c>
      <c r="D40" s="42">
        <f>345*10^6</f>
        <v>345000000</v>
      </c>
      <c r="E40" s="42">
        <f>345*10^6</f>
        <v>345000000</v>
      </c>
      <c r="F40" s="31" t="s">
        <v>55</v>
      </c>
      <c r="G40" s="55" t="s">
        <v>195</v>
      </c>
      <c r="J40" s="1" t="s">
        <v>28</v>
      </c>
      <c r="K40" s="94">
        <f>(K38+K39)/2</f>
        <v>3.5466737194675537</v>
      </c>
      <c r="L40" s="94">
        <f>(L38+L39)/2</f>
        <v>4.1272473701331931</v>
      </c>
      <c r="M40" s="94">
        <f>(M38+M39)/2</f>
        <v>4.1338169058456469</v>
      </c>
      <c r="N40" s="92" t="s">
        <v>243</v>
      </c>
      <c r="O40" s="92" t="s">
        <v>194</v>
      </c>
      <c r="R40" s="1" t="s">
        <v>27</v>
      </c>
      <c r="S40" s="1" t="s">
        <v>28</v>
      </c>
      <c r="T40" s="36">
        <f>(T38+T39)/2</f>
        <v>3.5466737194675537</v>
      </c>
      <c r="U40" s="36">
        <f>(U38+U39)/2</f>
        <v>4.1272473701331931</v>
      </c>
      <c r="V40" s="36">
        <f>(V38+V39)/2</f>
        <v>4.1338169058456469</v>
      </c>
      <c r="W40" s="24" t="s">
        <v>8</v>
      </c>
      <c r="X40" s="26" t="s">
        <v>194</v>
      </c>
    </row>
    <row r="41" spans="1:24" ht="13.8" thickBot="1">
      <c r="A41" s="12" t="s">
        <v>162</v>
      </c>
      <c r="B41" s="5"/>
      <c r="C41" s="54" t="s">
        <v>163</v>
      </c>
      <c r="D41" s="54" t="s">
        <v>163</v>
      </c>
      <c r="E41" s="54" t="s">
        <v>163</v>
      </c>
      <c r="F41" s="29"/>
      <c r="G41" s="55" t="s">
        <v>195</v>
      </c>
      <c r="J41" s="58" t="s">
        <v>270</v>
      </c>
      <c r="K41" s="74">
        <v>0.124</v>
      </c>
      <c r="L41" s="74">
        <v>0.13200000000000001</v>
      </c>
      <c r="M41" s="74">
        <v>0.13200000000000001</v>
      </c>
      <c r="N41" s="92" t="s">
        <v>248</v>
      </c>
      <c r="O41" s="92" t="s">
        <v>194</v>
      </c>
      <c r="R41" s="1" t="s">
        <v>29</v>
      </c>
      <c r="S41" s="1" t="s">
        <v>30</v>
      </c>
      <c r="T41" s="65">
        <v>0.124</v>
      </c>
      <c r="U41" s="65">
        <v>0.13200000000000001</v>
      </c>
      <c r="V41" s="65">
        <v>0.13200000000000001</v>
      </c>
      <c r="W41" s="24" t="s">
        <v>17</v>
      </c>
      <c r="X41" s="26" t="s">
        <v>194</v>
      </c>
    </row>
    <row r="42" spans="1:24">
      <c r="A42" s="12" t="s">
        <v>165</v>
      </c>
      <c r="B42" s="5"/>
      <c r="C42" s="54" t="s">
        <v>167</v>
      </c>
      <c r="D42" s="54" t="s">
        <v>167</v>
      </c>
      <c r="E42" s="54" t="s">
        <v>167</v>
      </c>
      <c r="F42" s="29"/>
      <c r="G42" s="55" t="s">
        <v>195</v>
      </c>
      <c r="J42" s="89" t="s">
        <v>272</v>
      </c>
      <c r="K42" s="93">
        <f>0.25</f>
        <v>0.25</v>
      </c>
      <c r="L42" s="93">
        <f>0.25</f>
        <v>0.25</v>
      </c>
      <c r="M42" s="93">
        <f>0.25</f>
        <v>0.25</v>
      </c>
      <c r="N42" s="92" t="s">
        <v>248</v>
      </c>
      <c r="O42" s="92" t="s">
        <v>194</v>
      </c>
      <c r="R42" s="1" t="s">
        <v>32</v>
      </c>
      <c r="T42" s="34">
        <f>0.25</f>
        <v>0.25</v>
      </c>
      <c r="U42" s="34">
        <f>0.25</f>
        <v>0.25</v>
      </c>
      <c r="V42" s="34">
        <f>0.25</f>
        <v>0.25</v>
      </c>
      <c r="W42" s="24" t="s">
        <v>33</v>
      </c>
      <c r="X42" s="26" t="s">
        <v>194</v>
      </c>
    </row>
    <row r="43" spans="1:24">
      <c r="A43" s="12" t="s">
        <v>166</v>
      </c>
      <c r="B43" s="5"/>
      <c r="C43" s="54">
        <f>3400 * 10^6</f>
        <v>3400000000</v>
      </c>
      <c r="D43" s="54">
        <f>3400 * 10^6</f>
        <v>3400000000</v>
      </c>
      <c r="E43" s="54">
        <f>3400 * 10^6</f>
        <v>3400000000</v>
      </c>
      <c r="F43" s="29" t="s">
        <v>55</v>
      </c>
      <c r="G43" s="55" t="s">
        <v>195</v>
      </c>
      <c r="J43" s="89" t="s">
        <v>273</v>
      </c>
      <c r="K43" s="93">
        <v>0.57999999999999996</v>
      </c>
      <c r="L43" s="93">
        <v>0.57999999999999996</v>
      </c>
      <c r="M43" s="93">
        <v>0.57999999999999996</v>
      </c>
      <c r="N43" s="92" t="s">
        <v>248</v>
      </c>
      <c r="O43" s="92" t="s">
        <v>194</v>
      </c>
      <c r="R43" s="1" t="s">
        <v>36</v>
      </c>
      <c r="T43" s="34">
        <v>0.57999999999999996</v>
      </c>
      <c r="U43" s="34">
        <v>0.57999999999999996</v>
      </c>
      <c r="V43" s="34">
        <v>0.57999999999999996</v>
      </c>
      <c r="W43" s="24" t="s">
        <v>33</v>
      </c>
      <c r="X43" s="26" t="s">
        <v>194</v>
      </c>
    </row>
    <row r="44" spans="1:24">
      <c r="A44" s="12" t="s">
        <v>168</v>
      </c>
      <c r="B44" s="5"/>
      <c r="C44" s="54">
        <f>0.6</f>
        <v>0.6</v>
      </c>
      <c r="D44" s="54">
        <f t="shared" ref="D44:E44" si="7">0.6</f>
        <v>0.6</v>
      </c>
      <c r="E44" s="54">
        <f t="shared" si="7"/>
        <v>0.6</v>
      </c>
      <c r="F44" s="29" t="s">
        <v>17</v>
      </c>
      <c r="G44" s="55" t="s">
        <v>195</v>
      </c>
      <c r="J44" s="89" t="s">
        <v>274</v>
      </c>
      <c r="K44" s="95">
        <f>(K43-K42)*K40</f>
        <v>1.1704023274242925</v>
      </c>
      <c r="L44" s="95">
        <f>(L43-L42)*L40</f>
        <v>1.3619916321439536</v>
      </c>
      <c r="M44" s="95">
        <f>(M43-M42)*M40</f>
        <v>1.3641595789290633</v>
      </c>
      <c r="N44" s="92" t="s">
        <v>243</v>
      </c>
      <c r="O44" s="92" t="s">
        <v>195</v>
      </c>
      <c r="R44" s="1" t="s">
        <v>38</v>
      </c>
      <c r="S44" s="1" t="s">
        <v>39</v>
      </c>
      <c r="T44" s="38">
        <f>(T43-T42)*T40</f>
        <v>1.1704023274242925</v>
      </c>
      <c r="U44" s="38">
        <f>(U43-U42)*U40</f>
        <v>1.3619916321439536</v>
      </c>
      <c r="V44" s="38">
        <f>(V43-V42)*V40</f>
        <v>1.3641595789290633</v>
      </c>
      <c r="W44" s="24"/>
      <c r="X44" s="28"/>
    </row>
    <row r="45" spans="1:24">
      <c r="A45" s="12" t="s">
        <v>169</v>
      </c>
      <c r="B45" s="5"/>
      <c r="C45" s="69">
        <f>0.025</f>
        <v>2.5000000000000001E-2</v>
      </c>
      <c r="D45" s="69">
        <f t="shared" ref="D45:E45" si="8">0.025</f>
        <v>2.5000000000000001E-2</v>
      </c>
      <c r="E45" s="69">
        <f t="shared" si="8"/>
        <v>2.5000000000000001E-2</v>
      </c>
      <c r="F45" s="29" t="s">
        <v>8</v>
      </c>
      <c r="G45" s="55" t="s">
        <v>195</v>
      </c>
      <c r="J45" s="89" t="s">
        <v>275</v>
      </c>
      <c r="K45" s="90">
        <f>K41*K40</f>
        <v>0.43978754121397667</v>
      </c>
      <c r="L45" s="90">
        <f>L41*L40</f>
        <v>0.5447966528575815</v>
      </c>
      <c r="M45" s="90">
        <f>M41*M40</f>
        <v>0.54566383157162546</v>
      </c>
      <c r="N45" s="92" t="s">
        <v>243</v>
      </c>
      <c r="O45" s="92" t="s">
        <v>195</v>
      </c>
      <c r="R45" s="1" t="s">
        <v>41</v>
      </c>
      <c r="S45" s="1" t="s">
        <v>42</v>
      </c>
      <c r="T45" s="32">
        <f>T41*T40</f>
        <v>0.43978754121397667</v>
      </c>
      <c r="U45" s="32">
        <f>U41*U40</f>
        <v>0.5447966528575815</v>
      </c>
      <c r="V45" s="32">
        <f>V41*V40</f>
        <v>0.54566383157162546</v>
      </c>
      <c r="W45" s="24" t="s">
        <v>8</v>
      </c>
      <c r="X45" s="26" t="s">
        <v>195</v>
      </c>
    </row>
    <row r="46" spans="1:24">
      <c r="A46" s="12" t="s">
        <v>170</v>
      </c>
      <c r="B46" s="5"/>
      <c r="C46" s="69">
        <f>0.01</f>
        <v>0.01</v>
      </c>
      <c r="D46" s="69">
        <f>0.01</f>
        <v>0.01</v>
      </c>
      <c r="E46" s="69">
        <f>0.01</f>
        <v>0.01</v>
      </c>
      <c r="F46" s="29" t="s">
        <v>8</v>
      </c>
      <c r="G46" s="55" t="s">
        <v>195</v>
      </c>
      <c r="J46" s="89" t="s">
        <v>276</v>
      </c>
      <c r="K46" s="96">
        <f>K44 * K45 * K34</f>
        <v>18.164456857252631</v>
      </c>
      <c r="L46" s="96">
        <f>L44 * L45 * L34</f>
        <v>30.471402948634392</v>
      </c>
      <c r="M46" s="96">
        <f>M44 * M45 * M34</f>
        <v>30.617143023100745</v>
      </c>
      <c r="N46" s="92" t="s">
        <v>278</v>
      </c>
      <c r="O46" s="92" t="s">
        <v>195</v>
      </c>
      <c r="R46" s="1" t="s">
        <v>43</v>
      </c>
      <c r="S46" s="1" t="s">
        <v>44</v>
      </c>
      <c r="T46" s="67">
        <f>T44 * T45 * T34</f>
        <v>18.164456857252631</v>
      </c>
      <c r="U46" s="67">
        <f t="shared" ref="U46:V46" si="9">U44 * U45 * U34</f>
        <v>30.471402948634392</v>
      </c>
      <c r="V46" s="67">
        <f t="shared" si="9"/>
        <v>30.617143023100745</v>
      </c>
      <c r="W46" s="24" t="s">
        <v>45</v>
      </c>
      <c r="X46" s="28"/>
    </row>
    <row r="47" spans="1:24" ht="13.8" thickBot="1">
      <c r="A47" s="12" t="s">
        <v>171</v>
      </c>
      <c r="B47" s="5"/>
      <c r="C47" s="48">
        <f>1</f>
        <v>1</v>
      </c>
      <c r="D47" s="48">
        <f>1</f>
        <v>1</v>
      </c>
      <c r="E47" s="48">
        <f>1</f>
        <v>1</v>
      </c>
      <c r="F47" s="29" t="s">
        <v>8</v>
      </c>
      <c r="G47" s="55" t="s">
        <v>195</v>
      </c>
      <c r="J47" s="58" t="s">
        <v>277</v>
      </c>
      <c r="K47" s="75">
        <f>20</f>
        <v>20</v>
      </c>
      <c r="L47" s="75">
        <f>20</f>
        <v>20</v>
      </c>
      <c r="M47" s="75">
        <f>20</f>
        <v>20</v>
      </c>
      <c r="N47" s="92" t="s">
        <v>248</v>
      </c>
      <c r="O47" s="92" t="s">
        <v>195</v>
      </c>
      <c r="R47" s="1" t="s">
        <v>47</v>
      </c>
      <c r="S47" s="1" t="s">
        <v>17</v>
      </c>
      <c r="T47" s="40" t="s">
        <v>17</v>
      </c>
      <c r="U47" s="40" t="s">
        <v>17</v>
      </c>
      <c r="V47" s="40" t="s">
        <v>17</v>
      </c>
      <c r="W47" s="24" t="s">
        <v>17</v>
      </c>
      <c r="X47" s="28"/>
    </row>
    <row r="48" spans="1:24" ht="13.8" thickBot="1">
      <c r="A48" s="12" t="s">
        <v>175</v>
      </c>
      <c r="B48" s="5"/>
      <c r="C48" s="48">
        <v>0</v>
      </c>
      <c r="D48" s="48">
        <v>0</v>
      </c>
      <c r="E48" s="48">
        <f>E11</f>
        <v>3.2</v>
      </c>
      <c r="F48" s="29" t="s">
        <v>8</v>
      </c>
      <c r="G48" s="55" t="s">
        <v>195</v>
      </c>
      <c r="R48" s="1" t="s">
        <v>109</v>
      </c>
      <c r="T48" s="65">
        <v>670642</v>
      </c>
      <c r="U48" s="65">
        <v>826682</v>
      </c>
      <c r="V48" s="65">
        <v>829310</v>
      </c>
      <c r="W48" s="24" t="s">
        <v>54</v>
      </c>
      <c r="X48" s="26" t="s">
        <v>194</v>
      </c>
    </row>
    <row r="49" spans="1:24">
      <c r="A49" s="12" t="s">
        <v>172</v>
      </c>
      <c r="B49" s="5"/>
      <c r="C49" s="54">
        <f>2780</f>
        <v>2780</v>
      </c>
      <c r="D49" s="54">
        <f>2780</f>
        <v>2780</v>
      </c>
      <c r="E49" s="54">
        <f>2780</f>
        <v>2780</v>
      </c>
      <c r="F49" s="29" t="s">
        <v>123</v>
      </c>
      <c r="G49" s="55" t="s">
        <v>195</v>
      </c>
      <c r="J49" s="89" t="s">
        <v>280</v>
      </c>
      <c r="R49" s="1" t="s">
        <v>49</v>
      </c>
      <c r="T49" s="41">
        <f>20</f>
        <v>20</v>
      </c>
      <c r="U49" s="41">
        <f>20</f>
        <v>20</v>
      </c>
      <c r="V49" s="41">
        <f>20</f>
        <v>20</v>
      </c>
      <c r="W49" s="24" t="s">
        <v>17</v>
      </c>
      <c r="X49" s="26" t="s">
        <v>195</v>
      </c>
    </row>
    <row r="50" spans="1:24">
      <c r="A50" s="12" t="s">
        <v>173</v>
      </c>
      <c r="B50" s="5"/>
      <c r="C50" s="54">
        <f>1600</f>
        <v>1600</v>
      </c>
      <c r="D50" s="54">
        <f>1600</f>
        <v>1600</v>
      </c>
      <c r="E50" s="54">
        <f>1600</f>
        <v>1600</v>
      </c>
      <c r="F50" s="29" t="s">
        <v>123</v>
      </c>
      <c r="G50" s="55" t="s">
        <v>195</v>
      </c>
      <c r="J50" s="77" t="s">
        <v>0</v>
      </c>
      <c r="K50" s="77" t="s">
        <v>250</v>
      </c>
      <c r="L50" s="77" t="s">
        <v>251</v>
      </c>
      <c r="M50" s="77" t="s">
        <v>252</v>
      </c>
      <c r="N50" s="77" t="s">
        <v>114</v>
      </c>
      <c r="O50" s="77" t="s">
        <v>229</v>
      </c>
      <c r="R50" s="1" t="s">
        <v>50</v>
      </c>
      <c r="T50" s="42">
        <f>345*10^6</f>
        <v>345000000</v>
      </c>
      <c r="U50" s="42">
        <f>345*10^6</f>
        <v>345000000</v>
      </c>
      <c r="V50" s="42">
        <f>345*10^6</f>
        <v>345000000</v>
      </c>
      <c r="W50" s="24" t="s">
        <v>55</v>
      </c>
      <c r="X50" s="26" t="s">
        <v>195</v>
      </c>
    </row>
    <row r="51" spans="1:24" ht="13.8" thickBot="1">
      <c r="A51" s="12" t="s">
        <v>174</v>
      </c>
      <c r="B51" s="5"/>
      <c r="C51" s="54">
        <f>4</f>
        <v>4</v>
      </c>
      <c r="D51" s="54">
        <f>4</f>
        <v>4</v>
      </c>
      <c r="E51" s="54">
        <f>4</f>
        <v>4</v>
      </c>
      <c r="F51" s="29" t="s">
        <v>17</v>
      </c>
      <c r="G51" s="55" t="s">
        <v>195</v>
      </c>
      <c r="J51" s="12" t="s">
        <v>281</v>
      </c>
      <c r="K51" s="48">
        <f>44.13</f>
        <v>44.13</v>
      </c>
      <c r="L51" s="48">
        <f>56.25</f>
        <v>56.25</v>
      </c>
      <c r="M51" s="48">
        <f>46.5</f>
        <v>46.5</v>
      </c>
      <c r="N51" s="31" t="s">
        <v>243</v>
      </c>
      <c r="O51" s="55" t="s">
        <v>194</v>
      </c>
      <c r="R51" s="1" t="s">
        <v>51</v>
      </c>
      <c r="T51" s="43">
        <f>0.6</f>
        <v>0.6</v>
      </c>
      <c r="U51" s="43">
        <f t="shared" ref="U51:V51" si="10">0.6</f>
        <v>0.6</v>
      </c>
      <c r="V51" s="43">
        <f t="shared" si="10"/>
        <v>0.6</v>
      </c>
      <c r="W51" s="24" t="s">
        <v>17</v>
      </c>
      <c r="X51" s="26" t="s">
        <v>195</v>
      </c>
    </row>
    <row r="52" spans="1:24" ht="13.8" thickBot="1">
      <c r="A52" s="12" t="s">
        <v>221</v>
      </c>
      <c r="C52" s="65">
        <v>676</v>
      </c>
      <c r="D52" s="65">
        <v>847.42857140000001</v>
      </c>
      <c r="E52" s="65">
        <v>850</v>
      </c>
      <c r="F52" s="25" t="s">
        <v>56</v>
      </c>
      <c r="J52" s="89" t="s">
        <v>282</v>
      </c>
      <c r="K52" s="49">
        <v>3.2</v>
      </c>
      <c r="L52" s="49">
        <v>3.2</v>
      </c>
      <c r="M52" s="49">
        <v>3.2</v>
      </c>
      <c r="N52" s="31" t="s">
        <v>243</v>
      </c>
      <c r="O52" s="16" t="s">
        <v>244</v>
      </c>
      <c r="R52" s="1" t="s">
        <v>52</v>
      </c>
      <c r="T52" s="41">
        <f>1.5</f>
        <v>1.5</v>
      </c>
      <c r="U52" s="41">
        <f>1.5</f>
        <v>1.5</v>
      </c>
      <c r="V52" s="41">
        <f>1.5</f>
        <v>1.5</v>
      </c>
      <c r="W52" s="24" t="s">
        <v>17</v>
      </c>
      <c r="X52" s="26" t="s">
        <v>195</v>
      </c>
    </row>
    <row r="53" spans="1:24">
      <c r="A53" s="12" t="s">
        <v>222</v>
      </c>
      <c r="C53" s="41">
        <f>5</f>
        <v>5</v>
      </c>
      <c r="D53" s="41">
        <f>6.5</f>
        <v>6.5</v>
      </c>
      <c r="E53" s="41">
        <v>4.5999999999999996</v>
      </c>
      <c r="F53" s="25" t="s">
        <v>8</v>
      </c>
      <c r="J53" s="89" t="s">
        <v>283</v>
      </c>
      <c r="K53">
        <v>0</v>
      </c>
      <c r="L53">
        <v>0</v>
      </c>
      <c r="M53">
        <v>2.54</v>
      </c>
      <c r="N53" s="31" t="s">
        <v>243</v>
      </c>
      <c r="O53" s="16" t="s">
        <v>244</v>
      </c>
      <c r="R53" s="1" t="s">
        <v>124</v>
      </c>
      <c r="T53" s="41">
        <f>1724</f>
        <v>1724</v>
      </c>
      <c r="U53" s="41">
        <f>0</f>
        <v>0</v>
      </c>
      <c r="V53" s="41">
        <f>3000</f>
        <v>3000</v>
      </c>
      <c r="W53" s="24" t="s">
        <v>56</v>
      </c>
      <c r="X53" s="26" t="s">
        <v>196</v>
      </c>
    </row>
    <row r="54" spans="1:24">
      <c r="J54" s="89" t="s">
        <v>284</v>
      </c>
      <c r="K54">
        <v>0</v>
      </c>
      <c r="L54">
        <v>0</v>
      </c>
      <c r="M54">
        <v>5.74</v>
      </c>
      <c r="N54" s="31" t="s">
        <v>243</v>
      </c>
      <c r="O54" s="16" t="s">
        <v>244</v>
      </c>
      <c r="R54" s="1" t="s">
        <v>125</v>
      </c>
      <c r="T54" s="41">
        <f>0.4 * T34/2</f>
        <v>7.0578807017404301</v>
      </c>
      <c r="U54" s="41">
        <f>0</f>
        <v>0</v>
      </c>
      <c r="V54" s="41">
        <f>0.35 * V34/2</f>
        <v>7.1980086873037319</v>
      </c>
      <c r="W54" s="24" t="s">
        <v>8</v>
      </c>
      <c r="X54" s="26" t="s">
        <v>195</v>
      </c>
    </row>
    <row r="55" spans="1:24">
      <c r="J55" s="4" t="s">
        <v>285</v>
      </c>
      <c r="K55" s="52">
        <v>2.9660000000000002</v>
      </c>
      <c r="L55" s="52">
        <v>2.9660000000000002</v>
      </c>
      <c r="M55" s="52">
        <v>2.9660000000000002</v>
      </c>
      <c r="N55" s="31" t="s">
        <v>243</v>
      </c>
      <c r="O55" s="55" t="s">
        <v>195</v>
      </c>
      <c r="R55" s="1" t="s">
        <v>53</v>
      </c>
      <c r="T55" s="44">
        <v>6981.2433860000001</v>
      </c>
      <c r="U55" s="41">
        <f>0</f>
        <v>0</v>
      </c>
      <c r="V55" s="41">
        <f>0</f>
        <v>0</v>
      </c>
      <c r="W55" s="24" t="s">
        <v>56</v>
      </c>
      <c r="X55" s="26" t="s">
        <v>197</v>
      </c>
    </row>
    <row r="56" spans="1:24">
      <c r="J56" s="4" t="s">
        <v>286</v>
      </c>
      <c r="K56" s="4">
        <v>0</v>
      </c>
      <c r="L56" s="49">
        <f>0</f>
        <v>0</v>
      </c>
      <c r="M56" s="49">
        <v>1.55</v>
      </c>
      <c r="N56" s="31" t="s">
        <v>243</v>
      </c>
      <c r="O56" s="55" t="s">
        <v>195</v>
      </c>
      <c r="R56" s="1" t="s">
        <v>120</v>
      </c>
      <c r="T56" s="68">
        <f>0.01</f>
        <v>0.01</v>
      </c>
      <c r="U56" s="68">
        <f>0.01</f>
        <v>0.01</v>
      </c>
      <c r="V56" s="68">
        <f>0.01</f>
        <v>0.01</v>
      </c>
      <c r="W56" s="24" t="s">
        <v>8</v>
      </c>
      <c r="X56" s="26" t="s">
        <v>195</v>
      </c>
    </row>
    <row r="57" spans="1:24">
      <c r="J57" s="89" t="s">
        <v>287</v>
      </c>
      <c r="K57">
        <v>0.75</v>
      </c>
      <c r="L57">
        <v>0.75</v>
      </c>
      <c r="M57">
        <v>0.75</v>
      </c>
      <c r="N57" s="31" t="s">
        <v>243</v>
      </c>
      <c r="O57" t="s">
        <v>195</v>
      </c>
      <c r="R57" s="1" t="s">
        <v>121</v>
      </c>
      <c r="T57" s="42">
        <f>2.78 *1000</f>
        <v>2780</v>
      </c>
      <c r="U57" s="42">
        <f>2.78 *1000</f>
        <v>2780</v>
      </c>
      <c r="V57" s="42">
        <f>2.78 *1000</f>
        <v>2780</v>
      </c>
      <c r="W57" s="24" t="s">
        <v>123</v>
      </c>
      <c r="X57" s="26" t="s">
        <v>195</v>
      </c>
    </row>
    <row r="58" spans="1:24">
      <c r="J58" s="89" t="s">
        <v>288</v>
      </c>
      <c r="K58" s="48">
        <f>5</f>
        <v>5</v>
      </c>
      <c r="L58" s="48">
        <f>5</f>
        <v>5</v>
      </c>
      <c r="M58" s="48">
        <f>5</f>
        <v>5</v>
      </c>
      <c r="N58" s="31" t="s">
        <v>248</v>
      </c>
      <c r="O58" s="55" t="s">
        <v>195</v>
      </c>
      <c r="R58" s="1" t="s">
        <v>122</v>
      </c>
      <c r="T58" s="45" t="s">
        <v>118</v>
      </c>
      <c r="U58" s="45" t="s">
        <v>118</v>
      </c>
      <c r="V58" s="45" t="s">
        <v>118</v>
      </c>
      <c r="W58" s="24" t="s">
        <v>17</v>
      </c>
      <c r="X58" s="26" t="s">
        <v>195</v>
      </c>
    </row>
    <row r="59" spans="1:24">
      <c r="J59" s="16" t="s">
        <v>289</v>
      </c>
      <c r="K59">
        <v>30</v>
      </c>
      <c r="L59">
        <v>29.75</v>
      </c>
      <c r="M59">
        <v>8.25</v>
      </c>
      <c r="N59" s="31" t="s">
        <v>243</v>
      </c>
      <c r="O59" s="55" t="s">
        <v>245</v>
      </c>
      <c r="R59" s="1" t="s">
        <v>127</v>
      </c>
      <c r="T59" s="41">
        <f>1724</f>
        <v>1724</v>
      </c>
      <c r="U59" s="41">
        <f>0</f>
        <v>0</v>
      </c>
      <c r="V59" s="41">
        <f>0</f>
        <v>0</v>
      </c>
      <c r="W59" s="60" t="s">
        <v>56</v>
      </c>
      <c r="X59" s="26" t="s">
        <v>196</v>
      </c>
    </row>
    <row r="60" spans="1:24">
      <c r="J60" s="16" t="s">
        <v>290</v>
      </c>
      <c r="K60">
        <v>38.130000000000003</v>
      </c>
      <c r="L60">
        <v>50.25</v>
      </c>
      <c r="M60">
        <v>38.25</v>
      </c>
      <c r="N60" s="31" t="s">
        <v>243</v>
      </c>
      <c r="O60" s="55" t="s">
        <v>245</v>
      </c>
      <c r="R60" s="1" t="s">
        <v>128</v>
      </c>
      <c r="T60" s="41">
        <f xml:space="preserve"> 0.7 * (T34/2)</f>
        <v>12.351291228045753</v>
      </c>
      <c r="U60" s="41">
        <f>0</f>
        <v>0</v>
      </c>
      <c r="V60" s="41">
        <f>0</f>
        <v>0</v>
      </c>
      <c r="W60" s="60" t="s">
        <v>8</v>
      </c>
      <c r="X60" s="26" t="s">
        <v>195</v>
      </c>
    </row>
    <row r="61" spans="1:24">
      <c r="J61" s="16" t="s">
        <v>291</v>
      </c>
      <c r="K61">
        <v>59</v>
      </c>
      <c r="L61">
        <v>75</v>
      </c>
      <c r="M61">
        <v>62</v>
      </c>
      <c r="N61" s="16" t="s">
        <v>248</v>
      </c>
      <c r="O61" s="16" t="s">
        <v>195</v>
      </c>
      <c r="R61" s="58" t="s">
        <v>160</v>
      </c>
      <c r="T61" s="45" t="s">
        <v>161</v>
      </c>
      <c r="U61" s="45" t="s">
        <v>161</v>
      </c>
      <c r="V61" s="45" t="s">
        <v>161</v>
      </c>
      <c r="W61" s="61" t="s">
        <v>17</v>
      </c>
    </row>
    <row r="62" spans="1:24" ht="13.8" thickBot="1">
      <c r="R62" s="58" t="s">
        <v>162</v>
      </c>
      <c r="T62" s="45" t="s">
        <v>163</v>
      </c>
      <c r="U62" s="45" t="s">
        <v>163</v>
      </c>
      <c r="V62" s="45" t="s">
        <v>163</v>
      </c>
      <c r="W62" s="61" t="s">
        <v>17</v>
      </c>
    </row>
    <row r="63" spans="1:24" ht="13.8" thickBot="1">
      <c r="K63" s="18" t="s">
        <v>184</v>
      </c>
      <c r="L63" s="18" t="s">
        <v>294</v>
      </c>
      <c r="M63" s="18" t="s">
        <v>210</v>
      </c>
      <c r="N63" s="18" t="s">
        <v>114</v>
      </c>
      <c r="R63" s="58" t="s">
        <v>217</v>
      </c>
      <c r="T63" s="65">
        <v>7536</v>
      </c>
      <c r="U63" s="65">
        <v>10741</v>
      </c>
      <c r="V63" s="65">
        <v>10804</v>
      </c>
      <c r="W63" s="61" t="s">
        <v>56</v>
      </c>
    </row>
    <row r="64" spans="1:24" ht="13.8" thickBot="1">
      <c r="J64" s="16" t="s">
        <v>183</v>
      </c>
      <c r="K64" s="42">
        <f>2780</f>
        <v>2780</v>
      </c>
      <c r="L64" s="42">
        <f>1600</f>
        <v>1600</v>
      </c>
      <c r="M64" s="42">
        <f>2520</f>
        <v>2520</v>
      </c>
      <c r="N64" s="16" t="s">
        <v>293</v>
      </c>
      <c r="R64" s="58" t="s">
        <v>218</v>
      </c>
      <c r="T64" s="65">
        <v>1740</v>
      </c>
      <c r="U64" s="65">
        <v>2118.5714290000001</v>
      </c>
      <c r="V64" s="65">
        <v>2125</v>
      </c>
      <c r="W64" s="61" t="s">
        <v>56</v>
      </c>
    </row>
    <row r="65" spans="10:23">
      <c r="J65" s="16" t="s">
        <v>185</v>
      </c>
      <c r="K65" s="42">
        <f>345</f>
        <v>345</v>
      </c>
      <c r="L65" s="98" t="s">
        <v>17</v>
      </c>
      <c r="M65" s="98" t="s">
        <v>17</v>
      </c>
      <c r="N65" s="97" t="s">
        <v>292</v>
      </c>
      <c r="R65" s="58" t="s">
        <v>219</v>
      </c>
      <c r="T65" s="41">
        <f>3.4</f>
        <v>3.4</v>
      </c>
      <c r="U65" s="41">
        <f>4.2</f>
        <v>4.2</v>
      </c>
      <c r="V65" s="43">
        <f>3.8</f>
        <v>3.8</v>
      </c>
      <c r="W65" s="61" t="s">
        <v>8</v>
      </c>
    </row>
    <row r="66" spans="10:23">
      <c r="J66" s="16" t="s">
        <v>186</v>
      </c>
      <c r="K66" s="42">
        <f>427</f>
        <v>427</v>
      </c>
      <c r="L66" s="42">
        <f>3400</f>
        <v>3400</v>
      </c>
      <c r="M66" s="42">
        <f>1077</f>
        <v>1077</v>
      </c>
      <c r="N66" s="97" t="s">
        <v>292</v>
      </c>
    </row>
    <row r="67" spans="10:23">
      <c r="J67" s="16" t="s">
        <v>187</v>
      </c>
      <c r="K67" s="99" t="s">
        <v>17</v>
      </c>
      <c r="L67" s="42">
        <v>0.6</v>
      </c>
      <c r="M67" s="42">
        <v>0.6</v>
      </c>
      <c r="N67" s="16" t="s">
        <v>248</v>
      </c>
    </row>
    <row r="68" spans="10:23">
      <c r="J68" s="16" t="s">
        <v>188</v>
      </c>
      <c r="K68" s="99" t="s">
        <v>17</v>
      </c>
      <c r="L68" s="42">
        <v>4</v>
      </c>
      <c r="M68" s="42">
        <v>4</v>
      </c>
      <c r="N68" s="16" t="s">
        <v>248</v>
      </c>
    </row>
    <row r="69" spans="10:23">
      <c r="J69" s="4"/>
      <c r="K69" s="4"/>
      <c r="L69" s="50"/>
      <c r="M69" s="50"/>
      <c r="N69" s="50"/>
      <c r="O69" s="30"/>
    </row>
    <row r="70" spans="10:23">
      <c r="J70" s="4"/>
      <c r="K70" s="6"/>
      <c r="L70" s="49"/>
      <c r="M70" s="49"/>
      <c r="N70" s="49"/>
      <c r="O70" s="30"/>
    </row>
    <row r="71" spans="10:23">
      <c r="J71" s="4"/>
      <c r="K71" s="4"/>
      <c r="L71" s="49"/>
      <c r="M71" s="49"/>
      <c r="N71" s="49"/>
      <c r="O71" s="30"/>
    </row>
  </sheetData>
  <mergeCells count="2">
    <mergeCell ref="A1:F1"/>
    <mergeCell ref="R31:V31"/>
  </mergeCells>
  <conditionalFormatting sqref="K34">
    <cfRule type="notContainsBlanks" dxfId="8" priority="3">
      <formula>LEN(TRIM(K34))&gt;0</formula>
    </cfRule>
  </conditionalFormatting>
  <conditionalFormatting sqref="L34">
    <cfRule type="notContainsBlanks" dxfId="7" priority="2">
      <formula>LEN(TRIM(L34))&gt;0</formula>
    </cfRule>
  </conditionalFormatting>
  <conditionalFormatting sqref="M34">
    <cfRule type="notContainsBlanks" dxfId="6" priority="1">
      <formula>LEN(TRIM(M34))&gt;0</formula>
    </cfRule>
  </conditionalFormatting>
  <conditionalFormatting sqref="T34">
    <cfRule type="notContainsBlanks" dxfId="5" priority="6">
      <formula>LEN(TRIM(T34))&gt;0</formula>
    </cfRule>
  </conditionalFormatting>
  <conditionalFormatting sqref="U34">
    <cfRule type="notContainsBlanks" dxfId="4" priority="5">
      <formula>LEN(TRIM(U34))&gt;0</formula>
    </cfRule>
  </conditionalFormatting>
  <conditionalFormatting sqref="V34">
    <cfRule type="notContainsBlanks" dxfId="3" priority="4">
      <formula>LEN(TRIM(V34))&gt;0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2E11-2AC3-4B18-96D0-DC833658C261}">
  <dimension ref="A1:P68"/>
  <sheetViews>
    <sheetView topLeftCell="A19" workbookViewId="0">
      <selection activeCell="H66" sqref="H66"/>
    </sheetView>
  </sheetViews>
  <sheetFormatPr defaultRowHeight="13.2"/>
  <cols>
    <col min="1" max="1" width="26.6640625" customWidth="1"/>
    <col min="2" max="2" width="17" customWidth="1"/>
    <col min="3" max="3" width="18.21875" customWidth="1"/>
    <col min="4" max="4" width="18.33203125" customWidth="1"/>
    <col min="5" max="5" width="17.77734375" customWidth="1"/>
    <col min="9" max="9" width="18.44140625" customWidth="1"/>
    <col min="10" max="10" width="13.6640625" customWidth="1"/>
    <col min="11" max="11" width="14" customWidth="1"/>
    <col min="12" max="12" width="15.109375" customWidth="1"/>
    <col min="13" max="13" width="15.5546875" customWidth="1"/>
  </cols>
  <sheetData>
    <row r="1" spans="1:16" ht="20.399999999999999">
      <c r="A1" s="125" t="s">
        <v>179</v>
      </c>
      <c r="B1" s="125"/>
      <c r="C1" s="125"/>
      <c r="D1" s="125"/>
      <c r="E1" s="125"/>
      <c r="I1" s="125" t="s">
        <v>180</v>
      </c>
      <c r="J1" s="125"/>
      <c r="K1" s="125"/>
      <c r="L1" s="125"/>
      <c r="M1" s="125"/>
      <c r="N1" s="125"/>
    </row>
    <row r="2" spans="1:16">
      <c r="A2" s="16" t="s">
        <v>181</v>
      </c>
      <c r="C2" s="18" t="s">
        <v>176</v>
      </c>
      <c r="D2" s="18" t="s">
        <v>177</v>
      </c>
      <c r="E2" s="18" t="s">
        <v>178</v>
      </c>
      <c r="K2" s="18" t="s">
        <v>176</v>
      </c>
      <c r="L2" s="18" t="s">
        <v>177</v>
      </c>
      <c r="M2" s="18" t="s">
        <v>178</v>
      </c>
    </row>
    <row r="3" spans="1:16">
      <c r="A3" s="19"/>
      <c r="B3" s="19" t="s">
        <v>1</v>
      </c>
      <c r="C3" s="19" t="s">
        <v>2</v>
      </c>
      <c r="D3" s="20"/>
      <c r="E3" s="20"/>
      <c r="F3" s="19" t="s">
        <v>3</v>
      </c>
      <c r="G3" s="19" t="s">
        <v>193</v>
      </c>
      <c r="I3" s="21" t="s">
        <v>0</v>
      </c>
      <c r="J3" s="22" t="s">
        <v>1</v>
      </c>
      <c r="K3" s="21" t="s">
        <v>2</v>
      </c>
      <c r="L3" s="20"/>
      <c r="M3" s="20"/>
      <c r="N3" s="22" t="s">
        <v>114</v>
      </c>
      <c r="O3" s="20" t="s">
        <v>193</v>
      </c>
    </row>
    <row r="4" spans="1:16">
      <c r="A4" s="1" t="s">
        <v>6</v>
      </c>
      <c r="B4" s="1" t="s">
        <v>7</v>
      </c>
      <c r="C4" s="32">
        <f>SQRT(C5*C6)</f>
        <v>34.03496731304439</v>
      </c>
      <c r="D4" s="32">
        <f>SQRT(D5*D6)</f>
        <v>37.891753720301729</v>
      </c>
      <c r="E4" s="33">
        <f>SQRT(E5*E6)</f>
        <v>38.127352386442986</v>
      </c>
      <c r="F4" s="24" t="s">
        <v>8</v>
      </c>
      <c r="G4" s="26" t="s">
        <v>194</v>
      </c>
      <c r="H4" s="27"/>
      <c r="I4" s="5" t="s">
        <v>107</v>
      </c>
      <c r="J4" s="5"/>
      <c r="K4" s="48">
        <f>ROUND((K21/K22),0)</f>
        <v>59</v>
      </c>
      <c r="L4" s="48">
        <f>ROUND((L21/L22),0)</f>
        <v>75</v>
      </c>
      <c r="M4" s="48">
        <f>ROUND((M21/M22),0)</f>
        <v>62</v>
      </c>
      <c r="N4" s="29"/>
      <c r="O4" s="55" t="s">
        <v>195</v>
      </c>
      <c r="P4" s="27"/>
    </row>
    <row r="5" spans="1:16">
      <c r="A5" s="1" t="s">
        <v>10</v>
      </c>
      <c r="B5" s="1" t="s">
        <v>11</v>
      </c>
      <c r="C5" s="32">
        <f>116.42</f>
        <v>116.42</v>
      </c>
      <c r="D5" s="32">
        <f>144.3</f>
        <v>144.30000000000001</v>
      </c>
      <c r="E5" s="33">
        <f>146.1</f>
        <v>146.1</v>
      </c>
      <c r="F5" s="24" t="s">
        <v>12</v>
      </c>
      <c r="G5" s="26" t="s">
        <v>194</v>
      </c>
      <c r="H5" s="27"/>
      <c r="I5" s="4" t="s">
        <v>59</v>
      </c>
      <c r="J5" s="4" t="s">
        <v>60</v>
      </c>
      <c r="K5" s="49">
        <v>2500</v>
      </c>
      <c r="L5" s="49">
        <v>2500</v>
      </c>
      <c r="M5" s="49">
        <v>2500</v>
      </c>
      <c r="N5" s="30" t="s">
        <v>8</v>
      </c>
      <c r="O5" s="55" t="s">
        <v>195</v>
      </c>
      <c r="P5" s="27"/>
    </row>
    <row r="6" spans="1:16">
      <c r="A6" s="1" t="s">
        <v>15</v>
      </c>
      <c r="B6" s="1" t="s">
        <v>16</v>
      </c>
      <c r="C6" s="32">
        <f>9.95</f>
        <v>9.9499999999999993</v>
      </c>
      <c r="D6" s="32">
        <f t="shared" ref="D6:E6" si="0">9.95</f>
        <v>9.9499999999999993</v>
      </c>
      <c r="E6" s="32">
        <f t="shared" si="0"/>
        <v>9.9499999999999993</v>
      </c>
      <c r="F6" s="24" t="s">
        <v>17</v>
      </c>
      <c r="G6" s="26" t="s">
        <v>194</v>
      </c>
      <c r="H6" s="27"/>
      <c r="I6" s="4" t="s">
        <v>62</v>
      </c>
      <c r="J6" s="4" t="s">
        <v>63</v>
      </c>
      <c r="K6" s="49">
        <v>8900</v>
      </c>
      <c r="L6" s="49">
        <v>8900</v>
      </c>
      <c r="M6" s="49">
        <v>8900</v>
      </c>
      <c r="N6" s="30" t="s">
        <v>8</v>
      </c>
      <c r="O6" s="55" t="s">
        <v>195</v>
      </c>
      <c r="P6" s="27"/>
    </row>
    <row r="7" spans="1:16">
      <c r="A7" s="1" t="s">
        <v>18</v>
      </c>
      <c r="B7" s="1" t="s">
        <v>19</v>
      </c>
      <c r="C7" s="34">
        <v>0.22</v>
      </c>
      <c r="D7" s="35">
        <v>0.22</v>
      </c>
      <c r="E7" s="35">
        <v>0.22</v>
      </c>
      <c r="F7" s="24" t="s">
        <v>17</v>
      </c>
      <c r="G7" s="26" t="s">
        <v>194</v>
      </c>
      <c r="H7" s="27"/>
      <c r="I7" s="4" t="s">
        <v>65</v>
      </c>
      <c r="J7" s="4" t="s">
        <v>66</v>
      </c>
      <c r="K7" s="49">
        <f t="shared" ref="K7:M8" si="1">101325*(1-(0.0000225577)*(K5))^5.25588</f>
        <v>74682.512282813492</v>
      </c>
      <c r="L7" s="49">
        <f t="shared" si="1"/>
        <v>74682.512282813492</v>
      </c>
      <c r="M7" s="49">
        <f t="shared" si="1"/>
        <v>74682.512282813492</v>
      </c>
      <c r="N7" s="30" t="s">
        <v>55</v>
      </c>
      <c r="O7" s="55" t="s">
        <v>195</v>
      </c>
      <c r="P7" s="27"/>
    </row>
    <row r="8" spans="1:16">
      <c r="A8" s="1" t="s">
        <v>21</v>
      </c>
      <c r="B8" s="1" t="s">
        <v>22</v>
      </c>
      <c r="C8" s="32">
        <f>(2*C5)/(C4*(C7+1))</f>
        <v>5.6075405409085404</v>
      </c>
      <c r="D8" s="32">
        <f>(2*D5)/(D4*(D7+1))</f>
        <v>6.2429777939371842</v>
      </c>
      <c r="E8" s="32">
        <f>(2*E5)/(E4*(E7+1))</f>
        <v>6.2817946101726658</v>
      </c>
      <c r="F8" s="24" t="s">
        <v>8</v>
      </c>
      <c r="G8" s="26" t="s">
        <v>194</v>
      </c>
      <c r="H8" s="27"/>
      <c r="I8" s="4" t="s">
        <v>67</v>
      </c>
      <c r="J8" s="4" t="s">
        <v>68</v>
      </c>
      <c r="K8" s="49">
        <f t="shared" si="1"/>
        <v>31202.517202843417</v>
      </c>
      <c r="L8" s="49">
        <f t="shared" si="1"/>
        <v>31202.517202843417</v>
      </c>
      <c r="M8" s="49">
        <f t="shared" si="1"/>
        <v>31202.517202843417</v>
      </c>
      <c r="N8" s="30" t="s">
        <v>55</v>
      </c>
      <c r="O8" s="55" t="s">
        <v>195</v>
      </c>
      <c r="P8" s="27"/>
    </row>
    <row r="9" spans="1:16">
      <c r="A9" s="1" t="s">
        <v>25</v>
      </c>
      <c r="B9" s="1" t="s">
        <v>26</v>
      </c>
      <c r="C9" s="32">
        <f>C8*C7</f>
        <v>1.2336589189998788</v>
      </c>
      <c r="D9" s="32">
        <f>D8*D7</f>
        <v>1.3734551146661806</v>
      </c>
      <c r="E9" s="32">
        <f>E8*E7</f>
        <v>1.3819948142379865</v>
      </c>
      <c r="F9" s="24" t="s">
        <v>8</v>
      </c>
      <c r="G9" s="26" t="s">
        <v>194</v>
      </c>
      <c r="H9" s="27"/>
      <c r="I9" s="6" t="s">
        <v>69</v>
      </c>
      <c r="J9" s="4" t="s">
        <v>70</v>
      </c>
      <c r="K9" s="49">
        <f>K7-K8</f>
        <v>43479.995079970075</v>
      </c>
      <c r="L9" s="49">
        <f>L7-L8</f>
        <v>43479.995079970075</v>
      </c>
      <c r="M9" s="49">
        <f>M7-M8</f>
        <v>43479.995079970075</v>
      </c>
      <c r="N9" s="30" t="s">
        <v>55</v>
      </c>
      <c r="O9" s="55" t="s">
        <v>195</v>
      </c>
      <c r="P9" s="27"/>
    </row>
    <row r="10" spans="1:16">
      <c r="A10" s="1" t="s">
        <v>27</v>
      </c>
      <c r="B10" s="1" t="s">
        <v>28</v>
      </c>
      <c r="C10" s="36">
        <f>(C8+C9)/2</f>
        <v>3.4205997299542097</v>
      </c>
      <c r="D10" s="36">
        <f>(D8+D9)/2</f>
        <v>3.8082164543016823</v>
      </c>
      <c r="E10" s="36">
        <f>(E8+E9)/2</f>
        <v>3.831894712205326</v>
      </c>
      <c r="F10" s="24" t="s">
        <v>8</v>
      </c>
      <c r="G10" s="26" t="s">
        <v>194</v>
      </c>
      <c r="H10" s="27"/>
      <c r="I10" s="4" t="s">
        <v>71</v>
      </c>
      <c r="J10" s="4" t="s">
        <v>72</v>
      </c>
      <c r="K10" s="50">
        <f>0</f>
        <v>0</v>
      </c>
      <c r="L10" s="50">
        <f>0</f>
        <v>0</v>
      </c>
      <c r="M10" s="50">
        <v>2.7</v>
      </c>
      <c r="N10" s="30" t="s">
        <v>8</v>
      </c>
      <c r="O10" s="27"/>
      <c r="P10" s="27"/>
    </row>
    <row r="11" spans="1:16">
      <c r="A11" s="1" t="s">
        <v>29</v>
      </c>
      <c r="B11" s="1" t="s">
        <v>30</v>
      </c>
      <c r="C11" s="37">
        <v>0.11799999999999999</v>
      </c>
      <c r="D11" s="37">
        <v>0.11899999999999999</v>
      </c>
      <c r="E11" s="37">
        <v>0.12</v>
      </c>
      <c r="F11" s="24" t="s">
        <v>17</v>
      </c>
      <c r="G11" s="26" t="s">
        <v>194</v>
      </c>
      <c r="H11" s="27"/>
      <c r="I11" s="4" t="s">
        <v>74</v>
      </c>
      <c r="J11" s="6" t="s">
        <v>75</v>
      </c>
      <c r="K11" s="49">
        <f>0</f>
        <v>0</v>
      </c>
      <c r="L11" s="49">
        <f>0</f>
        <v>0</v>
      </c>
      <c r="M11" s="49">
        <v>3.2</v>
      </c>
      <c r="N11" s="30" t="s">
        <v>8</v>
      </c>
      <c r="O11" s="27"/>
      <c r="P11" s="27"/>
    </row>
    <row r="12" spans="1:16">
      <c r="A12" s="1" t="s">
        <v>32</v>
      </c>
      <c r="C12" s="34">
        <f>0.25</f>
        <v>0.25</v>
      </c>
      <c r="D12" s="34">
        <f>0.25</f>
        <v>0.25</v>
      </c>
      <c r="E12" s="34">
        <f>0.25</f>
        <v>0.25</v>
      </c>
      <c r="F12" s="24" t="s">
        <v>33</v>
      </c>
      <c r="G12" s="26" t="s">
        <v>194</v>
      </c>
      <c r="H12" s="27"/>
      <c r="I12" s="4" t="s">
        <v>77</v>
      </c>
      <c r="J12" s="4" t="s">
        <v>78</v>
      </c>
      <c r="K12" s="49">
        <v>1.55</v>
      </c>
      <c r="L12" s="49">
        <v>1.55</v>
      </c>
      <c r="M12" s="49">
        <v>1.55</v>
      </c>
      <c r="N12" s="30" t="s">
        <v>8</v>
      </c>
      <c r="O12" s="27"/>
      <c r="P12" s="27"/>
    </row>
    <row r="13" spans="1:16">
      <c r="A13" s="1" t="s">
        <v>36</v>
      </c>
      <c r="C13" s="34">
        <v>0.57999999999999996</v>
      </c>
      <c r="D13" s="34">
        <v>0.57999999999999996</v>
      </c>
      <c r="E13" s="34">
        <v>0.57999999999999996</v>
      </c>
      <c r="F13" s="24" t="s">
        <v>33</v>
      </c>
      <c r="G13" s="26" t="s">
        <v>194</v>
      </c>
      <c r="H13" s="27"/>
      <c r="I13" s="4" t="s">
        <v>80</v>
      </c>
      <c r="J13" s="4" t="s">
        <v>81</v>
      </c>
      <c r="K13" s="49">
        <v>3.2</v>
      </c>
      <c r="L13" s="49">
        <v>3.2</v>
      </c>
      <c r="M13" s="49">
        <f>0</f>
        <v>0</v>
      </c>
      <c r="N13" s="30" t="s">
        <v>8</v>
      </c>
      <c r="O13" s="27"/>
      <c r="P13" s="27"/>
    </row>
    <row r="14" spans="1:16">
      <c r="A14" s="1" t="s">
        <v>38</v>
      </c>
      <c r="B14" s="1" t="s">
        <v>39</v>
      </c>
      <c r="C14" s="38">
        <f>(C13-C12)*C10</f>
        <v>1.1287979108848891</v>
      </c>
      <c r="D14" s="38">
        <f>(D13-D12)*D10</f>
        <v>1.256711429919555</v>
      </c>
      <c r="E14" s="38">
        <f>(E13-E12)*E10</f>
        <v>1.2645252550277575</v>
      </c>
      <c r="F14" s="24"/>
      <c r="G14" s="28"/>
      <c r="H14" s="27"/>
      <c r="I14" s="4" t="s">
        <v>83</v>
      </c>
      <c r="J14" s="4" t="s">
        <v>84</v>
      </c>
      <c r="K14" s="49">
        <f>0</f>
        <v>0</v>
      </c>
      <c r="L14" s="49">
        <f>0</f>
        <v>0</v>
      </c>
      <c r="M14" s="49">
        <v>5.74</v>
      </c>
      <c r="N14" s="30" t="s">
        <v>8</v>
      </c>
      <c r="O14" s="27"/>
      <c r="P14" s="27"/>
    </row>
    <row r="15" spans="1:16" ht="13.8" thickBot="1">
      <c r="A15" s="1" t="s">
        <v>41</v>
      </c>
      <c r="B15" s="1" t="s">
        <v>42</v>
      </c>
      <c r="C15" s="32">
        <f>C11*C10</f>
        <v>0.4036307681345967</v>
      </c>
      <c r="D15" s="32">
        <f>D11*D10</f>
        <v>0.45317775806190019</v>
      </c>
      <c r="E15" s="32">
        <f>E11*E10</f>
        <v>0.45982736546463909</v>
      </c>
      <c r="F15" s="24" t="s">
        <v>8</v>
      </c>
      <c r="G15" s="26" t="s">
        <v>195</v>
      </c>
      <c r="H15" s="27"/>
      <c r="I15" s="6" t="s">
        <v>71</v>
      </c>
      <c r="J15" s="4" t="s">
        <v>87</v>
      </c>
      <c r="K15" s="51">
        <v>2.2999999999999998</v>
      </c>
      <c r="L15" s="51">
        <v>2.2999999999999998</v>
      </c>
      <c r="M15" s="51">
        <v>2.2999999999999998</v>
      </c>
      <c r="N15" s="30" t="s">
        <v>8</v>
      </c>
      <c r="O15" s="27"/>
      <c r="P15" s="27"/>
    </row>
    <row r="16" spans="1:16" ht="27" thickBot="1">
      <c r="A16" s="1" t="s">
        <v>43</v>
      </c>
      <c r="B16" s="1" t="s">
        <v>44</v>
      </c>
      <c r="C16" s="39">
        <f>C15*C5</f>
        <v>46.990694026229747</v>
      </c>
      <c r="D16" s="39">
        <f>D15*D5</f>
        <v>65.39355048833221</v>
      </c>
      <c r="E16" s="39">
        <f>E15*E5</f>
        <v>67.180778094383768</v>
      </c>
      <c r="F16" s="24" t="s">
        <v>45</v>
      </c>
      <c r="G16" s="28"/>
      <c r="H16" s="27"/>
      <c r="I16" s="9" t="s">
        <v>90</v>
      </c>
      <c r="J16" s="46" t="s">
        <v>91</v>
      </c>
      <c r="K16" s="52">
        <v>2.9660000000000002</v>
      </c>
      <c r="L16" s="52">
        <v>2.9660000000000002</v>
      </c>
      <c r="M16" s="52">
        <v>2.9660000000000002</v>
      </c>
      <c r="N16" s="47" t="s">
        <v>8</v>
      </c>
      <c r="O16" s="55" t="s">
        <v>195</v>
      </c>
      <c r="P16" s="27"/>
    </row>
    <row r="17" spans="1:16">
      <c r="A17" s="1" t="s">
        <v>47</v>
      </c>
      <c r="B17" s="1" t="s">
        <v>17</v>
      </c>
      <c r="C17" s="40" t="s">
        <v>17</v>
      </c>
      <c r="D17" s="40" t="s">
        <v>17</v>
      </c>
      <c r="E17" s="40" t="s">
        <v>17</v>
      </c>
      <c r="F17" s="24" t="s">
        <v>17</v>
      </c>
      <c r="G17" s="28"/>
      <c r="H17" s="27"/>
      <c r="I17" s="12" t="s">
        <v>93</v>
      </c>
      <c r="J17" s="12" t="s">
        <v>95</v>
      </c>
      <c r="K17" s="48">
        <f>16433.19</f>
        <v>16433.189999999999</v>
      </c>
      <c r="L17" s="48">
        <f>37325</f>
        <v>37325</v>
      </c>
      <c r="M17" s="23">
        <v>37580</v>
      </c>
      <c r="N17" s="31" t="s">
        <v>56</v>
      </c>
      <c r="O17" s="55" t="s">
        <v>197</v>
      </c>
      <c r="P17" s="27"/>
    </row>
    <row r="18" spans="1:16">
      <c r="A18" s="1" t="s">
        <v>109</v>
      </c>
      <c r="C18" s="41">
        <f>666670.09</f>
        <v>666670.09</v>
      </c>
      <c r="D18" s="41">
        <f>821834.29</f>
        <v>821834.29</v>
      </c>
      <c r="E18" s="41">
        <f>824447.52</f>
        <v>824447.52</v>
      </c>
      <c r="F18" s="24" t="s">
        <v>54</v>
      </c>
      <c r="G18" s="26" t="s">
        <v>194</v>
      </c>
      <c r="H18" s="27"/>
      <c r="I18" s="12" t="s">
        <v>94</v>
      </c>
      <c r="J18" s="12" t="s">
        <v>96</v>
      </c>
      <c r="K18" s="48">
        <f>1858.387324</f>
        <v>1858.387324</v>
      </c>
      <c r="L18" s="48">
        <f>M18</f>
        <v>4088.4521129999998</v>
      </c>
      <c r="M18" s="23">
        <v>4088.4521129999998</v>
      </c>
      <c r="N18" s="31" t="s">
        <v>56</v>
      </c>
      <c r="O18" s="55" t="s">
        <v>197</v>
      </c>
      <c r="P18" s="27"/>
    </row>
    <row r="19" spans="1:16">
      <c r="A19" s="1" t="s">
        <v>49</v>
      </c>
      <c r="C19" s="41">
        <f>20</f>
        <v>20</v>
      </c>
      <c r="D19" s="41">
        <f>20</f>
        <v>20</v>
      </c>
      <c r="E19" s="41">
        <f>20</f>
        <v>20</v>
      </c>
      <c r="F19" s="24" t="s">
        <v>17</v>
      </c>
      <c r="G19" s="26" t="s">
        <v>195</v>
      </c>
      <c r="H19" s="27"/>
      <c r="I19" s="12" t="s">
        <v>97</v>
      </c>
      <c r="J19" s="12" t="s">
        <v>99</v>
      </c>
      <c r="K19" s="48">
        <f>K20-8.13</f>
        <v>30</v>
      </c>
      <c r="L19" s="48">
        <f>L20-20.5</f>
        <v>29.75</v>
      </c>
      <c r="M19" s="48">
        <f>(M21/2) - 15</f>
        <v>8.25</v>
      </c>
      <c r="N19" s="31" t="s">
        <v>8</v>
      </c>
      <c r="O19" s="27"/>
      <c r="P19" s="27"/>
    </row>
    <row r="20" spans="1:16">
      <c r="A20" s="1" t="s">
        <v>50</v>
      </c>
      <c r="C20" s="42">
        <f>345*10^6</f>
        <v>345000000</v>
      </c>
      <c r="D20" s="42">
        <f>345*10^6</f>
        <v>345000000</v>
      </c>
      <c r="E20" s="42">
        <f>345*10^6</f>
        <v>345000000</v>
      </c>
      <c r="F20" s="24" t="s">
        <v>55</v>
      </c>
      <c r="G20" s="26" t="s">
        <v>195</v>
      </c>
      <c r="H20" s="27"/>
      <c r="I20" s="12" t="s">
        <v>98</v>
      </c>
      <c r="J20" s="12" t="s">
        <v>100</v>
      </c>
      <c r="K20" s="48">
        <f>K21-6</f>
        <v>38.130000000000003</v>
      </c>
      <c r="L20" s="48">
        <f>L21-6</f>
        <v>50.25</v>
      </c>
      <c r="M20" s="48">
        <f>(M21/2) + 15</f>
        <v>38.25</v>
      </c>
      <c r="N20" s="31" t="s">
        <v>8</v>
      </c>
      <c r="O20" s="27"/>
      <c r="P20" s="27"/>
    </row>
    <row r="21" spans="1:16">
      <c r="A21" s="1" t="s">
        <v>51</v>
      </c>
      <c r="C21" s="43"/>
      <c r="D21" s="43"/>
      <c r="E21" s="43"/>
      <c r="F21" s="24" t="s">
        <v>17</v>
      </c>
      <c r="G21" s="26" t="s">
        <v>195</v>
      </c>
      <c r="H21" s="27"/>
      <c r="I21" s="12" t="s">
        <v>130</v>
      </c>
      <c r="J21" s="12" t="s">
        <v>131</v>
      </c>
      <c r="K21" s="48">
        <f>44.13</f>
        <v>44.13</v>
      </c>
      <c r="L21" s="48">
        <f>56.25</f>
        <v>56.25</v>
      </c>
      <c r="M21" s="48">
        <f>46.5</f>
        <v>46.5</v>
      </c>
      <c r="N21" s="31" t="s">
        <v>8</v>
      </c>
      <c r="O21" s="55" t="s">
        <v>194</v>
      </c>
      <c r="P21" s="27"/>
    </row>
    <row r="22" spans="1:16">
      <c r="A22" s="1" t="s">
        <v>52</v>
      </c>
      <c r="C22" s="41">
        <f>1.5</f>
        <v>1.5</v>
      </c>
      <c r="D22" s="41">
        <f>1.5</f>
        <v>1.5</v>
      </c>
      <c r="E22" s="41">
        <f>1.5</f>
        <v>1.5</v>
      </c>
      <c r="F22" s="24" t="s">
        <v>17</v>
      </c>
      <c r="G22" s="26" t="s">
        <v>195</v>
      </c>
      <c r="H22" s="27"/>
      <c r="I22" s="12" t="s">
        <v>101</v>
      </c>
      <c r="J22" s="12" t="s">
        <v>102</v>
      </c>
      <c r="K22" s="48">
        <f>0.75</f>
        <v>0.75</v>
      </c>
      <c r="L22" s="48">
        <f>0.75</f>
        <v>0.75</v>
      </c>
      <c r="M22" s="48">
        <f>0.75</f>
        <v>0.75</v>
      </c>
      <c r="N22" s="31" t="s">
        <v>8</v>
      </c>
      <c r="O22" s="55" t="s">
        <v>195</v>
      </c>
      <c r="P22" s="27"/>
    </row>
    <row r="23" spans="1:16">
      <c r="A23" s="1" t="s">
        <v>124</v>
      </c>
      <c r="C23" s="41">
        <f>1724</f>
        <v>1724</v>
      </c>
      <c r="D23" s="41">
        <f>0</f>
        <v>0</v>
      </c>
      <c r="E23" s="41">
        <f>3000</f>
        <v>3000</v>
      </c>
      <c r="F23" s="24" t="s">
        <v>56</v>
      </c>
      <c r="G23" s="26" t="s">
        <v>196</v>
      </c>
      <c r="H23" s="27"/>
      <c r="I23" s="12" t="s">
        <v>103</v>
      </c>
      <c r="J23" s="12" t="s">
        <v>104</v>
      </c>
      <c r="K23" s="48">
        <f>K25/K26</f>
        <v>24</v>
      </c>
      <c r="L23" s="48">
        <f>L25/L26</f>
        <v>24</v>
      </c>
      <c r="M23" s="48">
        <f>M25/M26</f>
        <v>24</v>
      </c>
      <c r="N23" s="31" t="s">
        <v>17</v>
      </c>
      <c r="O23" s="55" t="s">
        <v>195</v>
      </c>
      <c r="P23" s="27"/>
    </row>
    <row r="24" spans="1:16">
      <c r="A24" s="1" t="s">
        <v>125</v>
      </c>
      <c r="C24" s="41">
        <f>0.4 * C4/2</f>
        <v>6.8069934626088786</v>
      </c>
      <c r="D24" s="41">
        <f>0</f>
        <v>0</v>
      </c>
      <c r="E24" s="41">
        <f>0.35 * E4/2</f>
        <v>6.6722866676275219</v>
      </c>
      <c r="F24" s="24" t="s">
        <v>8</v>
      </c>
      <c r="G24" s="26" t="s">
        <v>195</v>
      </c>
      <c r="H24" s="27"/>
      <c r="I24" s="12" t="s">
        <v>137</v>
      </c>
      <c r="J24" s="12" t="s">
        <v>138</v>
      </c>
      <c r="K24" s="48">
        <f>K23*K22</f>
        <v>18</v>
      </c>
      <c r="L24" s="48">
        <f>L23*L22</f>
        <v>18</v>
      </c>
      <c r="M24" s="48">
        <f>M23*M22</f>
        <v>18</v>
      </c>
      <c r="N24" s="31" t="s">
        <v>8</v>
      </c>
      <c r="O24" s="55" t="s">
        <v>195</v>
      </c>
      <c r="P24" s="27"/>
    </row>
    <row r="25" spans="1:16">
      <c r="A25" s="1" t="s">
        <v>53</v>
      </c>
      <c r="C25" s="44">
        <v>6981.2433860000001</v>
      </c>
      <c r="D25" s="41">
        <f>0</f>
        <v>0</v>
      </c>
      <c r="E25" s="41">
        <f>0</f>
        <v>0</v>
      </c>
      <c r="F25" s="24" t="s">
        <v>56</v>
      </c>
      <c r="G25" s="26" t="s">
        <v>197</v>
      </c>
      <c r="H25" s="27"/>
      <c r="I25" s="12" t="s">
        <v>113</v>
      </c>
      <c r="J25" s="12"/>
      <c r="K25" s="48">
        <f>120</f>
        <v>120</v>
      </c>
      <c r="L25" s="48">
        <f>120</f>
        <v>120</v>
      </c>
      <c r="M25" s="48">
        <f>120</f>
        <v>120</v>
      </c>
      <c r="N25" s="31" t="s">
        <v>17</v>
      </c>
      <c r="O25" s="55" t="s">
        <v>195</v>
      </c>
      <c r="P25" s="27"/>
    </row>
    <row r="26" spans="1:16">
      <c r="A26" s="1" t="s">
        <v>120</v>
      </c>
      <c r="C26" s="41">
        <f>0.01</f>
        <v>0.01</v>
      </c>
      <c r="D26" s="41">
        <f>0.01</f>
        <v>0.01</v>
      </c>
      <c r="E26" s="41">
        <f>0.01</f>
        <v>0.01</v>
      </c>
      <c r="F26" s="24" t="s">
        <v>8</v>
      </c>
      <c r="G26" s="26" t="s">
        <v>195</v>
      </c>
      <c r="H26" s="27"/>
      <c r="I26" s="12" t="s">
        <v>112</v>
      </c>
      <c r="J26" s="12" t="s">
        <v>139</v>
      </c>
      <c r="K26" s="48">
        <f>5</f>
        <v>5</v>
      </c>
      <c r="L26" s="48">
        <f>5</f>
        <v>5</v>
      </c>
      <c r="M26" s="48">
        <f>5</f>
        <v>5</v>
      </c>
      <c r="N26" s="31" t="s">
        <v>17</v>
      </c>
      <c r="O26" s="55" t="s">
        <v>195</v>
      </c>
      <c r="P26" s="27"/>
    </row>
    <row r="27" spans="1:16">
      <c r="A27" s="1" t="s">
        <v>121</v>
      </c>
      <c r="C27" s="42">
        <f>2.78 *1000</f>
        <v>2780</v>
      </c>
      <c r="D27" s="42">
        <f>2.78 *1000</f>
        <v>2780</v>
      </c>
      <c r="E27" s="42">
        <f>2.78 *1000</f>
        <v>2780</v>
      </c>
      <c r="F27" s="24" t="s">
        <v>123</v>
      </c>
      <c r="G27" s="26" t="s">
        <v>195</v>
      </c>
      <c r="H27" s="27"/>
      <c r="I27" s="12" t="s">
        <v>105</v>
      </c>
      <c r="J27" s="12" t="s">
        <v>106</v>
      </c>
      <c r="K27" s="48">
        <f>102.36</f>
        <v>102.36</v>
      </c>
      <c r="L27" s="48">
        <f>102.36</f>
        <v>102.36</v>
      </c>
      <c r="M27" s="48">
        <f>102.36</f>
        <v>102.36</v>
      </c>
      <c r="N27" s="31" t="s">
        <v>56</v>
      </c>
      <c r="O27" s="55" t="s">
        <v>195</v>
      </c>
      <c r="P27" s="27"/>
    </row>
    <row r="28" spans="1:16">
      <c r="A28" s="1" t="s">
        <v>122</v>
      </c>
      <c r="C28" s="45" t="s">
        <v>118</v>
      </c>
      <c r="D28" s="45" t="s">
        <v>118</v>
      </c>
      <c r="E28" s="45" t="s">
        <v>118</v>
      </c>
      <c r="F28" s="24" t="s">
        <v>17</v>
      </c>
      <c r="G28" s="26" t="s">
        <v>195</v>
      </c>
      <c r="H28" s="27"/>
      <c r="I28" s="12" t="s">
        <v>132</v>
      </c>
      <c r="J28" s="12" t="s">
        <v>146</v>
      </c>
      <c r="K28" s="48">
        <f>15</f>
        <v>15</v>
      </c>
      <c r="L28" s="53">
        <f>30</f>
        <v>30</v>
      </c>
      <c r="M28" s="53">
        <f>30</f>
        <v>30</v>
      </c>
      <c r="N28" s="31" t="s">
        <v>8</v>
      </c>
      <c r="O28" s="27"/>
      <c r="P28" s="27"/>
    </row>
    <row r="29" spans="1:16">
      <c r="A29" s="1" t="s">
        <v>127</v>
      </c>
      <c r="C29" s="41">
        <f>1724</f>
        <v>1724</v>
      </c>
      <c r="D29" s="41">
        <f>0</f>
        <v>0</v>
      </c>
      <c r="E29" s="41">
        <f>0</f>
        <v>0</v>
      </c>
      <c r="F29" s="25"/>
      <c r="G29" s="26" t="s">
        <v>196</v>
      </c>
      <c r="H29" s="27"/>
      <c r="I29" s="12" t="s">
        <v>135</v>
      </c>
      <c r="J29" s="17" t="s">
        <v>136</v>
      </c>
      <c r="K29" s="48">
        <v>2000</v>
      </c>
      <c r="L29" s="48">
        <v>2000</v>
      </c>
      <c r="M29" s="48">
        <v>2000</v>
      </c>
      <c r="N29" s="31" t="s">
        <v>56</v>
      </c>
      <c r="O29" s="55" t="s">
        <v>198</v>
      </c>
      <c r="P29" s="27"/>
    </row>
    <row r="30" spans="1:16">
      <c r="A30" s="1" t="s">
        <v>128</v>
      </c>
      <c r="C30" s="41">
        <f xml:space="preserve"> 0.7 * (C4/2)</f>
        <v>11.912238559565536</v>
      </c>
      <c r="D30" s="41">
        <f>0</f>
        <v>0</v>
      </c>
      <c r="E30" s="41">
        <f>0</f>
        <v>0</v>
      </c>
      <c r="F30" s="25"/>
      <c r="G30" s="26" t="s">
        <v>195</v>
      </c>
      <c r="H30" s="27"/>
      <c r="I30" s="12" t="s">
        <v>143</v>
      </c>
      <c r="J30" s="12" t="s">
        <v>142</v>
      </c>
      <c r="K30" s="48">
        <f>10</f>
        <v>10</v>
      </c>
      <c r="L30" s="48">
        <f>10</f>
        <v>10</v>
      </c>
      <c r="M30" s="48">
        <f>10</f>
        <v>10</v>
      </c>
      <c r="N30" s="31" t="s">
        <v>8</v>
      </c>
      <c r="O30" s="55" t="s">
        <v>195</v>
      </c>
      <c r="P30" s="27"/>
    </row>
    <row r="31" spans="1:16">
      <c r="A31" s="57"/>
      <c r="B31" s="57"/>
      <c r="C31" s="57"/>
      <c r="D31" s="57"/>
      <c r="E31" s="57"/>
      <c r="I31" s="12" t="s">
        <v>140</v>
      </c>
      <c r="J31" s="12" t="s">
        <v>141</v>
      </c>
      <c r="K31" s="48">
        <f>2000</f>
        <v>2000</v>
      </c>
      <c r="L31" s="48">
        <f>2000</f>
        <v>2000</v>
      </c>
      <c r="M31" s="48">
        <f>2000</f>
        <v>2000</v>
      </c>
      <c r="N31" s="31" t="s">
        <v>56</v>
      </c>
      <c r="O31" s="55" t="s">
        <v>198</v>
      </c>
      <c r="P31" s="27"/>
    </row>
    <row r="32" spans="1:16">
      <c r="A32" s="127" t="s">
        <v>212</v>
      </c>
      <c r="B32" s="128"/>
      <c r="C32" s="128"/>
      <c r="D32" s="128"/>
      <c r="I32" s="12" t="s">
        <v>144</v>
      </c>
      <c r="J32" s="12" t="s">
        <v>145</v>
      </c>
      <c r="K32" s="48">
        <f>20</f>
        <v>20</v>
      </c>
      <c r="L32" s="48">
        <f>20</f>
        <v>20</v>
      </c>
      <c r="M32" s="48">
        <f>20</f>
        <v>20</v>
      </c>
      <c r="N32" s="31" t="s">
        <v>8</v>
      </c>
      <c r="O32" s="55" t="s">
        <v>195</v>
      </c>
      <c r="P32" s="27"/>
    </row>
    <row r="33" spans="1:16">
      <c r="A33" s="18" t="s">
        <v>176</v>
      </c>
      <c r="I33" s="12" t="s">
        <v>148</v>
      </c>
      <c r="J33" s="12" t="s">
        <v>147</v>
      </c>
      <c r="K33" s="48">
        <f>0</f>
        <v>0</v>
      </c>
      <c r="L33" s="48">
        <f>3000</f>
        <v>3000</v>
      </c>
      <c r="M33" s="48">
        <f>0</f>
        <v>0</v>
      </c>
      <c r="N33" s="31" t="s">
        <v>56</v>
      </c>
      <c r="O33" s="55" t="s">
        <v>196</v>
      </c>
      <c r="P33" s="27"/>
    </row>
    <row r="34" spans="1:16">
      <c r="A34" t="s">
        <v>205</v>
      </c>
      <c r="B34" t="s">
        <v>206</v>
      </c>
      <c r="C34" t="s">
        <v>207</v>
      </c>
      <c r="D34" t="s">
        <v>208</v>
      </c>
      <c r="E34" s="57"/>
      <c r="I34" s="12" t="s">
        <v>149</v>
      </c>
      <c r="J34" s="12" t="s">
        <v>150</v>
      </c>
      <c r="K34" s="48">
        <f>0</f>
        <v>0</v>
      </c>
      <c r="L34" s="53">
        <f>35</f>
        <v>35</v>
      </c>
      <c r="M34" s="48">
        <f>0</f>
        <v>0</v>
      </c>
      <c r="N34" s="31" t="s">
        <v>8</v>
      </c>
      <c r="O34" s="27"/>
      <c r="P34" s="27"/>
    </row>
    <row r="35" spans="1:16">
      <c r="A35" t="s">
        <v>184</v>
      </c>
      <c r="B35">
        <f>3.1</f>
        <v>3.1</v>
      </c>
      <c r="C35">
        <v>50</v>
      </c>
      <c r="D35">
        <v>4932.3999999999996</v>
      </c>
      <c r="I35" s="12" t="s">
        <v>152</v>
      </c>
      <c r="J35" s="12" t="s">
        <v>153</v>
      </c>
      <c r="K35" s="48">
        <f>6045.72389</f>
        <v>6045.7238900000002</v>
      </c>
      <c r="L35" s="44">
        <v>7375.700957</v>
      </c>
      <c r="M35" s="44">
        <v>6045.7238900000002</v>
      </c>
      <c r="N35" s="31" t="s">
        <v>56</v>
      </c>
      <c r="O35" s="55" t="s">
        <v>199</v>
      </c>
      <c r="P35" s="27"/>
    </row>
    <row r="36" spans="1:16">
      <c r="A36" s="57" t="s">
        <v>296</v>
      </c>
      <c r="B36">
        <f>3.4</f>
        <v>3.4</v>
      </c>
      <c r="C36" s="57">
        <v>10</v>
      </c>
      <c r="D36" s="119">
        <v>1050</v>
      </c>
      <c r="I36" s="12" t="s">
        <v>155</v>
      </c>
      <c r="J36" s="12" t="s">
        <v>155</v>
      </c>
      <c r="K36" s="48">
        <f>7536.113032</f>
        <v>7536.1130320000002</v>
      </c>
      <c r="L36" s="48">
        <f>9959.96906</f>
        <v>9959.9690599999994</v>
      </c>
      <c r="M36" s="44">
        <v>7536.1130320000002</v>
      </c>
      <c r="N36" s="31" t="s">
        <v>56</v>
      </c>
      <c r="O36" s="55" t="s">
        <v>199</v>
      </c>
      <c r="P36" s="27"/>
    </row>
    <row r="37" spans="1:16">
      <c r="A37" t="s">
        <v>299</v>
      </c>
      <c r="B37">
        <v>2.5</v>
      </c>
      <c r="C37">
        <f>36</f>
        <v>36</v>
      </c>
      <c r="D37">
        <f>3271</f>
        <v>3271</v>
      </c>
      <c r="I37" s="12" t="s">
        <v>156</v>
      </c>
      <c r="J37" s="12" t="s">
        <v>158</v>
      </c>
      <c r="K37" s="48">
        <f>1.55</f>
        <v>1.55</v>
      </c>
      <c r="L37" s="48">
        <f>1.55</f>
        <v>1.55</v>
      </c>
      <c r="M37" s="48">
        <f>1.55</f>
        <v>1.55</v>
      </c>
      <c r="N37" s="31" t="s">
        <v>8</v>
      </c>
      <c r="O37" s="55" t="s">
        <v>195</v>
      </c>
      <c r="P37" s="27"/>
    </row>
    <row r="38" spans="1:16">
      <c r="I38" s="12" t="s">
        <v>160</v>
      </c>
      <c r="J38" s="5"/>
      <c r="K38" s="54" t="s">
        <v>161</v>
      </c>
      <c r="L38" s="54" t="s">
        <v>161</v>
      </c>
      <c r="M38" s="54" t="s">
        <v>161</v>
      </c>
      <c r="N38" s="29"/>
      <c r="O38" s="55" t="s">
        <v>195</v>
      </c>
      <c r="P38" s="27"/>
    </row>
    <row r="39" spans="1:16">
      <c r="A39" s="18" t="s">
        <v>177</v>
      </c>
      <c r="I39" s="12" t="s">
        <v>164</v>
      </c>
      <c r="J39" s="5"/>
      <c r="K39" s="45" t="s">
        <v>118</v>
      </c>
      <c r="L39" s="45" t="s">
        <v>118</v>
      </c>
      <c r="M39" s="45" t="s">
        <v>118</v>
      </c>
      <c r="N39" s="29"/>
      <c r="O39" s="55" t="s">
        <v>195</v>
      </c>
      <c r="P39" s="27"/>
    </row>
    <row r="40" spans="1:16">
      <c r="A40" t="s">
        <v>205</v>
      </c>
      <c r="B40" t="s">
        <v>206</v>
      </c>
      <c r="C40" t="s">
        <v>207</v>
      </c>
      <c r="D40" t="s">
        <v>208</v>
      </c>
      <c r="I40" s="12" t="s">
        <v>159</v>
      </c>
      <c r="J40" s="5"/>
      <c r="K40" s="42">
        <f>345*10^6</f>
        <v>345000000</v>
      </c>
      <c r="L40" s="42">
        <f>345*10^6</f>
        <v>345000000</v>
      </c>
      <c r="M40" s="42">
        <f>345*10^6</f>
        <v>345000000</v>
      </c>
      <c r="N40" s="31" t="s">
        <v>55</v>
      </c>
      <c r="O40" s="55" t="s">
        <v>195</v>
      </c>
      <c r="P40" s="27"/>
    </row>
    <row r="41" spans="1:16">
      <c r="A41" t="s">
        <v>184</v>
      </c>
      <c r="B41">
        <v>5</v>
      </c>
      <c r="C41">
        <f>50</f>
        <v>50</v>
      </c>
      <c r="D41">
        <v>7635.1</v>
      </c>
      <c r="I41" s="12" t="s">
        <v>162</v>
      </c>
      <c r="J41" s="5"/>
      <c r="K41" s="54" t="s">
        <v>163</v>
      </c>
      <c r="L41" s="54" t="s">
        <v>163</v>
      </c>
      <c r="M41" s="54" t="s">
        <v>163</v>
      </c>
      <c r="N41" s="29"/>
      <c r="O41" s="55" t="s">
        <v>195</v>
      </c>
      <c r="P41" s="27"/>
    </row>
    <row r="42" spans="1:16">
      <c r="A42" s="119" t="s">
        <v>296</v>
      </c>
      <c r="B42" s="57">
        <v>5.8</v>
      </c>
      <c r="C42" s="57">
        <f>10</f>
        <v>10</v>
      </c>
      <c r="D42" s="57">
        <v>1963</v>
      </c>
      <c r="I42" s="12" t="s">
        <v>165</v>
      </c>
      <c r="J42" s="5"/>
      <c r="K42" s="54" t="s">
        <v>167</v>
      </c>
      <c r="L42" s="54" t="s">
        <v>167</v>
      </c>
      <c r="M42" s="54" t="s">
        <v>167</v>
      </c>
      <c r="N42" s="29"/>
      <c r="O42" s="55" t="s">
        <v>195</v>
      </c>
      <c r="P42" s="27"/>
    </row>
    <row r="43" spans="1:16">
      <c r="A43" t="s">
        <v>299</v>
      </c>
      <c r="B43">
        <f>4.5</f>
        <v>4.5</v>
      </c>
      <c r="C43">
        <f>36</f>
        <v>36</v>
      </c>
      <c r="D43">
        <v>5250</v>
      </c>
      <c r="I43" s="12" t="s">
        <v>166</v>
      </c>
      <c r="J43" s="5"/>
      <c r="K43" s="54">
        <f>3400 * 10^6</f>
        <v>3400000000</v>
      </c>
      <c r="L43" s="54">
        <f>3400 * 10^6</f>
        <v>3400000000</v>
      </c>
      <c r="M43" s="54">
        <f>3400 * 10^6</f>
        <v>3400000000</v>
      </c>
      <c r="N43" s="29" t="s">
        <v>55</v>
      </c>
      <c r="O43" s="55" t="s">
        <v>195</v>
      </c>
      <c r="P43" s="27"/>
    </row>
    <row r="44" spans="1:16">
      <c r="I44" s="12" t="s">
        <v>168</v>
      </c>
      <c r="J44" s="5"/>
      <c r="K44" s="54">
        <f>0.8</f>
        <v>0.8</v>
      </c>
      <c r="L44" s="54">
        <f>0.8</f>
        <v>0.8</v>
      </c>
      <c r="M44" s="54">
        <f>0.8</f>
        <v>0.8</v>
      </c>
      <c r="N44" s="29" t="s">
        <v>17</v>
      </c>
      <c r="O44" s="55" t="s">
        <v>195</v>
      </c>
      <c r="P44" s="27"/>
    </row>
    <row r="45" spans="1:16">
      <c r="A45" s="18" t="s">
        <v>178</v>
      </c>
      <c r="I45" s="12" t="s">
        <v>169</v>
      </c>
      <c r="J45" s="5"/>
      <c r="K45" s="64">
        <f>0.03</f>
        <v>0.03</v>
      </c>
      <c r="L45" s="64">
        <f>0.03</f>
        <v>0.03</v>
      </c>
      <c r="M45" s="64">
        <f>0.03</f>
        <v>0.03</v>
      </c>
      <c r="N45" s="29" t="s">
        <v>8</v>
      </c>
      <c r="O45" s="55" t="s">
        <v>195</v>
      </c>
      <c r="P45" s="27"/>
    </row>
    <row r="46" spans="1:16">
      <c r="A46" t="s">
        <v>205</v>
      </c>
      <c r="B46" t="s">
        <v>206</v>
      </c>
      <c r="C46" t="s">
        <v>207</v>
      </c>
      <c r="D46" t="s">
        <v>208</v>
      </c>
      <c r="I46" s="12" t="s">
        <v>170</v>
      </c>
      <c r="J46" s="5"/>
      <c r="K46" s="64">
        <f>0.01</f>
        <v>0.01</v>
      </c>
      <c r="L46" s="64">
        <f>0.01</f>
        <v>0.01</v>
      </c>
      <c r="M46" s="64">
        <f>0.01</f>
        <v>0.01</v>
      </c>
      <c r="N46" s="29" t="s">
        <v>8</v>
      </c>
      <c r="O46" s="55" t="s">
        <v>195</v>
      </c>
      <c r="P46" s="27"/>
    </row>
    <row r="47" spans="1:16">
      <c r="A47" t="s">
        <v>184</v>
      </c>
      <c r="B47">
        <v>5.0999999999999996</v>
      </c>
      <c r="C47">
        <f>50</f>
        <v>50</v>
      </c>
      <c r="D47">
        <v>7676.1</v>
      </c>
      <c r="I47" s="12" t="s">
        <v>171</v>
      </c>
      <c r="J47" s="5"/>
      <c r="K47" s="48">
        <f>1</f>
        <v>1</v>
      </c>
      <c r="L47" s="48">
        <f>1</f>
        <v>1</v>
      </c>
      <c r="M47" s="48">
        <f>1</f>
        <v>1</v>
      </c>
      <c r="N47" s="29" t="s">
        <v>8</v>
      </c>
      <c r="O47" s="55" t="s">
        <v>195</v>
      </c>
      <c r="P47" s="27"/>
    </row>
    <row r="48" spans="1:16">
      <c r="A48" s="119" t="s">
        <v>296</v>
      </c>
      <c r="B48" s="57">
        <v>6</v>
      </c>
      <c r="C48" s="57">
        <f>10</f>
        <v>10</v>
      </c>
      <c r="D48" s="57">
        <v>1993</v>
      </c>
      <c r="I48" s="12" t="s">
        <v>175</v>
      </c>
      <c r="J48" s="5"/>
      <c r="K48" s="48">
        <v>0</v>
      </c>
      <c r="L48" s="48">
        <v>0</v>
      </c>
      <c r="M48" s="48">
        <f>M11</f>
        <v>3.2</v>
      </c>
      <c r="N48" s="29" t="s">
        <v>8</v>
      </c>
      <c r="O48" s="55" t="s">
        <v>195</v>
      </c>
      <c r="P48" s="27"/>
    </row>
    <row r="49" spans="1:16">
      <c r="A49" t="s">
        <v>299</v>
      </c>
      <c r="B49">
        <v>4.5999999999999996</v>
      </c>
      <c r="C49">
        <f>36</f>
        <v>36</v>
      </c>
      <c r="D49">
        <v>5289</v>
      </c>
      <c r="I49" s="12" t="s">
        <v>172</v>
      </c>
      <c r="J49" s="5"/>
      <c r="K49" s="54">
        <f>2780</f>
        <v>2780</v>
      </c>
      <c r="L49" s="54">
        <f>2780</f>
        <v>2780</v>
      </c>
      <c r="M49" s="54">
        <f>2780</f>
        <v>2780</v>
      </c>
      <c r="N49" s="29" t="s">
        <v>123</v>
      </c>
      <c r="O49" s="55" t="s">
        <v>195</v>
      </c>
      <c r="P49" s="27"/>
    </row>
    <row r="50" spans="1:16">
      <c r="I50" s="12" t="s">
        <v>173</v>
      </c>
      <c r="J50" s="5"/>
      <c r="K50" s="54">
        <f>1600</f>
        <v>1600</v>
      </c>
      <c r="L50" s="54">
        <f>1600</f>
        <v>1600</v>
      </c>
      <c r="M50" s="54">
        <f>1600</f>
        <v>1600</v>
      </c>
      <c r="N50" s="29" t="s">
        <v>123</v>
      </c>
      <c r="O50" s="55" t="s">
        <v>195</v>
      </c>
      <c r="P50" s="27"/>
    </row>
    <row r="51" spans="1:16">
      <c r="A51" s="127" t="s">
        <v>215</v>
      </c>
      <c r="B51" s="128"/>
      <c r="C51" s="128"/>
      <c r="D51" s="128"/>
      <c r="I51" s="12" t="s">
        <v>174</v>
      </c>
      <c r="J51" s="5"/>
      <c r="K51" s="54">
        <f>4</f>
        <v>4</v>
      </c>
      <c r="L51" s="54">
        <f>4</f>
        <v>4</v>
      </c>
      <c r="M51" s="54">
        <f>4</f>
        <v>4</v>
      </c>
      <c r="N51" s="29" t="s">
        <v>17</v>
      </c>
      <c r="O51" s="55" t="s">
        <v>195</v>
      </c>
      <c r="P51" s="27"/>
    </row>
    <row r="52" spans="1:16">
      <c r="A52" s="18" t="s">
        <v>176</v>
      </c>
    </row>
    <row r="53" spans="1:16">
      <c r="A53" t="s">
        <v>205</v>
      </c>
      <c r="B53" t="s">
        <v>206</v>
      </c>
      <c r="C53" s="16" t="s">
        <v>213</v>
      </c>
      <c r="D53" s="16" t="s">
        <v>214</v>
      </c>
    </row>
    <row r="54" spans="1:16">
      <c r="A54" t="s">
        <v>184</v>
      </c>
      <c r="B54">
        <v>4.4000000000000004</v>
      </c>
      <c r="C54">
        <v>10</v>
      </c>
      <c r="D54">
        <v>8989.7999999999993</v>
      </c>
    </row>
    <row r="55" spans="1:16">
      <c r="A55" s="119" t="s">
        <v>296</v>
      </c>
      <c r="B55" s="57">
        <f>4.8</f>
        <v>4.8</v>
      </c>
      <c r="C55">
        <v>10</v>
      </c>
      <c r="D55" s="73">
        <v>6158</v>
      </c>
      <c r="E55" s="57"/>
    </row>
    <row r="56" spans="1:16">
      <c r="A56" s="16" t="s">
        <v>210</v>
      </c>
      <c r="B56">
        <v>4.2</v>
      </c>
      <c r="C56">
        <v>10</v>
      </c>
      <c r="D56" s="73">
        <v>7981</v>
      </c>
    </row>
    <row r="58" spans="1:16">
      <c r="A58" s="18" t="s">
        <v>177</v>
      </c>
    </row>
    <row r="59" spans="1:16">
      <c r="A59" t="s">
        <v>205</v>
      </c>
      <c r="B59" t="s">
        <v>206</v>
      </c>
      <c r="C59" s="16" t="s">
        <v>213</v>
      </c>
      <c r="D59" s="16" t="s">
        <v>214</v>
      </c>
    </row>
    <row r="60" spans="1:16">
      <c r="A60" s="119" t="s">
        <v>296</v>
      </c>
      <c r="B60">
        <f>9.5</f>
        <v>9.5</v>
      </c>
      <c r="C60">
        <v>10</v>
      </c>
      <c r="D60" s="73">
        <v>19467.7</v>
      </c>
    </row>
    <row r="61" spans="1:16">
      <c r="A61" s="57" t="s">
        <v>209</v>
      </c>
      <c r="B61" s="57">
        <f>11.2</f>
        <v>11.2</v>
      </c>
      <c r="C61" s="57">
        <v>10</v>
      </c>
      <c r="D61" s="73">
        <v>14346</v>
      </c>
    </row>
    <row r="62" spans="1:16">
      <c r="A62" t="s">
        <v>210</v>
      </c>
      <c r="B62">
        <v>9.5</v>
      </c>
      <c r="C62">
        <v>10</v>
      </c>
      <c r="D62" s="73">
        <v>17726</v>
      </c>
    </row>
    <row r="64" spans="1:16">
      <c r="A64" s="18" t="s">
        <v>178</v>
      </c>
    </row>
    <row r="65" spans="1:5">
      <c r="A65" t="s">
        <v>205</v>
      </c>
      <c r="B65" t="s">
        <v>206</v>
      </c>
      <c r="C65" s="16" t="s">
        <v>213</v>
      </c>
      <c r="D65" s="16" t="s">
        <v>223</v>
      </c>
      <c r="E65" s="16" t="s">
        <v>214</v>
      </c>
    </row>
    <row r="66" spans="1:5">
      <c r="A66" t="s">
        <v>184</v>
      </c>
      <c r="B66">
        <v>6.2</v>
      </c>
      <c r="C66">
        <v>10</v>
      </c>
      <c r="D66">
        <v>25</v>
      </c>
      <c r="E66">
        <v>12645</v>
      </c>
    </row>
    <row r="67" spans="1:5">
      <c r="A67" s="119" t="s">
        <v>296</v>
      </c>
      <c r="B67" s="57">
        <v>7.3</v>
      </c>
      <c r="C67" s="57">
        <v>10</v>
      </c>
      <c r="D67">
        <v>25</v>
      </c>
      <c r="E67">
        <v>5627</v>
      </c>
    </row>
    <row r="68" spans="1:5">
      <c r="A68" t="s">
        <v>210</v>
      </c>
      <c r="B68">
        <f>6.9</f>
        <v>6.9</v>
      </c>
      <c r="C68">
        <v>10</v>
      </c>
      <c r="D68">
        <v>25</v>
      </c>
      <c r="E68">
        <v>9835</v>
      </c>
    </row>
  </sheetData>
  <mergeCells count="4">
    <mergeCell ref="A1:E1"/>
    <mergeCell ref="I1:N1"/>
    <mergeCell ref="A32:D32"/>
    <mergeCell ref="A51:D51"/>
  </mergeCells>
  <conditionalFormatting sqref="C4:C5">
    <cfRule type="notContainsBlanks" dxfId="2" priority="3">
      <formula>LEN(TRIM(C4))&gt;0</formula>
    </cfRule>
  </conditionalFormatting>
  <conditionalFormatting sqref="D4:D5">
    <cfRule type="notContainsBlanks" dxfId="1" priority="2">
      <formula>LEN(TRIM(D4))&gt;0</formula>
    </cfRule>
  </conditionalFormatting>
  <conditionalFormatting sqref="E4:E5">
    <cfRule type="notContainsBlanks" dxfId="0" priority="1">
      <formula>LEN(TRIM(E4))&gt;0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Wing</vt:lpstr>
      <vt:lpstr>Fuselage</vt:lpstr>
      <vt:lpstr>Input parameters</vt:lpstr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modified xsi:type="dcterms:W3CDTF">2020-06-08T16:00:37Z</dcterms:modified>
</cp:coreProperties>
</file>