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ati/Documents/Optimization/Project/ProjectFinal/"/>
    </mc:Choice>
  </mc:AlternateContent>
  <xr:revisionPtr revIDLastSave="0" documentId="13_ncr:1_{AF0854F9-E1D8-FB45-A8BB-171E068F0797}" xr6:coauthVersionLast="45" xr6:coauthVersionMax="45" xr10:uidLastSave="{00000000-0000-0000-0000-000000000000}"/>
  <bookViews>
    <workbookView xWindow="0" yWindow="460" windowWidth="25600" windowHeight="14600" tabRatio="888" xr2:uid="{D3A1CD70-249D-4DEC-8435-F2A5AF738C0E}"/>
  </bookViews>
  <sheets>
    <sheet name="Pepsi Ad Mathematical Model" sheetId="17" r:id="rId1"/>
    <sheet name="Digital Ad Mathematical Model" sheetId="19" r:id="rId2"/>
    <sheet name="Pepsi Advertising Model" sheetId="2" r:id="rId3"/>
    <sheet name="Pepsic Digital Marketing" sheetId="4" r:id="rId4"/>
    <sheet name="Pepsico Digital Marketing_STS" sheetId="5" state="veryHidden" r:id="rId5"/>
    <sheet name="OneWaySensitivity-Digital" sheetId="6" r:id="rId6"/>
    <sheet name="Pepsi Advertising Model_STS" sheetId="8" state="veryHidden" r:id="rId7"/>
    <sheet name="OneWaySensitivity-Advertising" sheetId="21" r:id="rId8"/>
    <sheet name="TwoWaySensitivity-Advertising" sheetId="24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hartData" localSheetId="7">'OneWaySensitivity-Advertising'!$T$5:$T$20</definedName>
    <definedName name="ChartData" localSheetId="5">'OneWaySensitivity-Digital'!$O$5:$O$15</definedName>
    <definedName name="ChartData1" localSheetId="8">'TwoWaySensitivity-Advertising'!$K$5:$K$11</definedName>
    <definedName name="ChartData2" localSheetId="8">'TwoWaySensitivity-Advertising'!$O$5:$O$11</definedName>
    <definedName name="InputValues" localSheetId="7">'OneWaySensitivity-Advertising'!$A$5:$A$20</definedName>
    <definedName name="InputValues" localSheetId="5">'OneWaySensitivity-Digital'!$A$5:$A$15</definedName>
    <definedName name="InputValues1" localSheetId="8">'TwoWaySensitivity-Advertising'!$A$5:$A$11</definedName>
    <definedName name="InputValues2" localSheetId="8">'TwoWaySensitivity-Advertising'!$B$4:$H$4</definedName>
    <definedName name="OutputAddresses" localSheetId="7">'OneWaySensitivity-Advertising'!$B$4:$H$4</definedName>
    <definedName name="OutputAddresses" localSheetId="5">'OneWaySensitivity-Digital'!$B$4:$C$4</definedName>
    <definedName name="OutputAddresses" localSheetId="8">'TwoWaySensitivity-Advertising'!$AZ$2:$AZ$8</definedName>
    <definedName name="OutputValues" localSheetId="7">'OneWaySensitivity-Advertising'!$B$5:$H$20</definedName>
    <definedName name="OutputValues" localSheetId="5">'OneWaySensitivity-Digital'!$B$5:$C$15</definedName>
    <definedName name="OutputValues_1" localSheetId="8">'TwoWaySensitivity-Advertising'!$B$5:$H$11</definedName>
    <definedName name="OutputValues_2" localSheetId="8">'TwoWaySensitivity-Advertising'!$B$14:$H$20</definedName>
    <definedName name="OutputValues_3" localSheetId="8">'TwoWaySensitivity-Advertising'!$B$23:$H$29</definedName>
    <definedName name="OutputValues_4" localSheetId="8">'TwoWaySensitivity-Advertising'!$B$32:$H$38</definedName>
    <definedName name="OutputValues_5" localSheetId="8">'TwoWaySensitivity-Advertising'!$B$41:$H$47</definedName>
    <definedName name="OutputValues_6" localSheetId="8">'TwoWaySensitivity-Advertising'!$B$50:$H$56</definedName>
    <definedName name="OutputValues_7" localSheetId="8">'TwoWaySensitivity-Advertising'!$B$59:$H$65</definedName>
    <definedName name="Pal_Workbook_GUID" hidden="1">"H7YLFV5K6FU6JEPFEQH7SVZI"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2" hidden="1">'Pepsi Advertising Model'!$B$19:$G$19</definedName>
    <definedName name="solver_adj" localSheetId="3" hidden="1">'Pepsic Digital Marketing'!$B$19:$F$19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bd" localSheetId="2" hidden="1">2</definedName>
    <definedName name="solver_ibd" localSheetId="3" hidden="1">2</definedName>
    <definedName name="solver_itr" localSheetId="2" hidden="1">100</definedName>
    <definedName name="solver_itr" localSheetId="3" hidden="1">100</definedName>
    <definedName name="solver_lhs1" localSheetId="2" hidden="1">'Pepsi Advertising Model'!$B$19:$G$19</definedName>
    <definedName name="solver_lhs1" localSheetId="3" hidden="1">'Pepsic Digital Marketing'!$B$19:$F$19</definedName>
    <definedName name="solver_lhs2" localSheetId="2" hidden="1">'Pepsi Advertising Model'!$B$26:$B$31</definedName>
    <definedName name="solver_lhs2" localSheetId="3" hidden="1">'Pepsic Digital Marketing'!$B$26:$B$31</definedName>
    <definedName name="solver_lhs3" localSheetId="2" hidden="1">'Pepsi Advertising Model'!$B$32</definedName>
    <definedName name="solver_lhs3" localSheetId="3" hidden="1">'Pepsic Digital Marketing'!$B$32</definedName>
    <definedName name="solver_lhs4" localSheetId="2" hidden="1">'Pepsi Advertising Model'!$B$33:$B$34</definedName>
    <definedName name="solver_lhs4" localSheetId="3" hidden="1">'Pepsic Digital Marketing'!$B$33</definedName>
    <definedName name="solver_lin" localSheetId="2" hidden="1">1</definedName>
    <definedName name="solver_lin" localSheetId="3" hidden="1">1</definedName>
    <definedName name="solver_loc" localSheetId="2" hidden="1">1</definedName>
    <definedName name="solver_loc" localSheetId="3" hidden="1">1</definedName>
    <definedName name="solver_lva" localSheetId="2" hidden="1">2</definedName>
    <definedName name="solver_lva" localSheetId="3" hidden="1">2</definedName>
    <definedName name="solver_mip" localSheetId="2" hidden="1">5000</definedName>
    <definedName name="solver_mip" localSheetId="3" hidden="1">5000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5000</definedName>
    <definedName name="solver_nod" localSheetId="3" hidden="1">5000</definedName>
    <definedName name="solver_num" localSheetId="2" hidden="1">4</definedName>
    <definedName name="solver_num" localSheetId="3" hidden="1">3</definedName>
    <definedName name="solver_nwt" localSheetId="2" hidden="1">1</definedName>
    <definedName name="solver_nwt" localSheetId="3" hidden="1">1</definedName>
    <definedName name="solver_ofx" localSheetId="2" hidden="1">2</definedName>
    <definedName name="solver_ofx" localSheetId="3" hidden="1">2</definedName>
    <definedName name="solver_opt" localSheetId="2" hidden="1">'Pepsi Advertising Model'!$B$22</definedName>
    <definedName name="solver_opt" localSheetId="3" hidden="1">'Pepsic Digital Marketing'!$B$32</definedName>
    <definedName name="solver_piv" localSheetId="2" hidden="1">0.000001</definedName>
    <definedName name="solver_piv" localSheetId="3" hidden="1">0.000001</definedName>
    <definedName name="solver_pre" localSheetId="2" hidden="1">0.000001</definedName>
    <definedName name="solver_pre" localSheetId="3" hidden="1">0.000001</definedName>
    <definedName name="solver_pro" localSheetId="2" hidden="1">2</definedName>
    <definedName name="solver_pro" localSheetId="3" hidden="1">2</definedName>
    <definedName name="solver_rbv" localSheetId="2" hidden="1">1</definedName>
    <definedName name="solver_rbv" localSheetId="3" hidden="1">1</definedName>
    <definedName name="solver_red" localSheetId="2" hidden="1">0.000001</definedName>
    <definedName name="solver_red" localSheetId="3" hidden="1">0.000001</definedName>
    <definedName name="solver_rel1" localSheetId="2" hidden="1">4</definedName>
    <definedName name="solver_rel1" localSheetId="3" hidden="1">4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3</definedName>
    <definedName name="solver_rel4" localSheetId="2" hidden="1">3</definedName>
    <definedName name="solver_rel4" localSheetId="3" hidden="1">1</definedName>
    <definedName name="solver_reo" localSheetId="2" hidden="1">2</definedName>
    <definedName name="solver_reo" localSheetId="3" hidden="1">2</definedName>
    <definedName name="solver_rep" localSheetId="2" hidden="1">2</definedName>
    <definedName name="solver_rep" localSheetId="3" hidden="1">2</definedName>
    <definedName name="solver_rhs1" localSheetId="2" hidden="1">integer</definedName>
    <definedName name="solver_rhs1" localSheetId="3" hidden="1">integer</definedName>
    <definedName name="solver_rhs2" localSheetId="2" hidden="1">'Pepsi Advertising Model'!$D$26:$D$31</definedName>
    <definedName name="solver_rhs2" localSheetId="3" hidden="1">'Pepsic Digital Marketing'!$D$26:$D$31</definedName>
    <definedName name="solver_rhs3" localSheetId="2" hidden="1">'Pepsi Advertising Model'!$D$32</definedName>
    <definedName name="solver_rhs3" localSheetId="3" hidden="1">'Pepsic Digital Marketing'!$D$32</definedName>
    <definedName name="solver_rhs4" localSheetId="2" hidden="1">'Pepsi Advertising Model'!$D$33:$D$34</definedName>
    <definedName name="solver_rhs4" localSheetId="3" hidden="1">'Pepsic Digital Marketing'!$D$33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std" localSheetId="2" hidden="1">1</definedName>
    <definedName name="solver_std" localSheetId="3" hidden="1">1</definedName>
    <definedName name="solver_tim" localSheetId="2" hidden="1">100</definedName>
    <definedName name="solver_tim" localSheetId="3" hidden="1">100</definedName>
    <definedName name="solver_tol" localSheetId="2" hidden="1">0.0005</definedName>
    <definedName name="solver_tol" localSheetId="3" hidden="1">0.0005</definedName>
    <definedName name="solver_typ" localSheetId="2" hidden="1">1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24" l="1"/>
  <c r="K1" i="24"/>
  <c r="Q4" i="24"/>
  <c r="N4" i="24"/>
  <c r="N5" i="24" s="1"/>
  <c r="M4" i="24"/>
  <c r="J4" i="24"/>
  <c r="J5" i="24" s="1"/>
  <c r="O6" i="24"/>
  <c r="O11" i="24"/>
  <c r="K7" i="24"/>
  <c r="K10" i="24"/>
  <c r="O8" i="24"/>
  <c r="K5" i="24"/>
  <c r="K8" i="24"/>
  <c r="O9" i="24"/>
  <c r="K11" i="24"/>
  <c r="O5" i="24"/>
  <c r="O7" i="24"/>
  <c r="K6" i="24"/>
  <c r="K9" i="24"/>
  <c r="O10" i="24"/>
  <c r="T1" i="21" l="1"/>
  <c r="J4" i="21"/>
  <c r="T19" i="21" s="1"/>
  <c r="C20" i="2"/>
  <c r="D20" i="2"/>
  <c r="E20" i="2"/>
  <c r="F20" i="2"/>
  <c r="G20" i="2"/>
  <c r="G12" i="2"/>
  <c r="C15" i="2"/>
  <c r="B12" i="2"/>
  <c r="B15" i="2" s="1"/>
  <c r="O1" i="6"/>
  <c r="J4" i="6"/>
  <c r="O14" i="6" s="1"/>
  <c r="B12" i="4"/>
  <c r="C12" i="4"/>
  <c r="C16" i="4" s="1"/>
  <c r="D12" i="4"/>
  <c r="E12" i="4"/>
  <c r="F12" i="4"/>
  <c r="B15" i="4"/>
  <c r="B16" i="4" s="1"/>
  <c r="C15" i="4"/>
  <c r="D15" i="4"/>
  <c r="D16" i="4" s="1"/>
  <c r="E15" i="4"/>
  <c r="F15" i="4"/>
  <c r="F16" i="4" s="1"/>
  <c r="E16" i="4"/>
  <c r="B22" i="4" a="1"/>
  <c r="B22" i="4" s="1"/>
  <c r="B26" i="4"/>
  <c r="B27" i="4"/>
  <c r="B28" i="4"/>
  <c r="B29" i="4"/>
  <c r="B30" i="4"/>
  <c r="B31" i="4"/>
  <c r="B32" i="4"/>
  <c r="C12" i="2"/>
  <c r="D12" i="2"/>
  <c r="D15" i="2" s="1"/>
  <c r="E12" i="2"/>
  <c r="E15" i="2" s="1"/>
  <c r="F12" i="2"/>
  <c r="G15" i="2"/>
  <c r="B26" i="2" a="1"/>
  <c r="B26" i="2" s="1"/>
  <c r="B27" i="2"/>
  <c r="B28" i="2"/>
  <c r="B29" i="2"/>
  <c r="B30" i="2"/>
  <c r="B31" i="2"/>
  <c r="D33" i="2"/>
  <c r="D34" i="2"/>
  <c r="O11" i="6" l="1"/>
  <c r="O7" i="6"/>
  <c r="O15" i="6"/>
  <c r="O9" i="6"/>
  <c r="O5" i="6"/>
  <c r="O13" i="6"/>
  <c r="T20" i="21"/>
  <c r="T6" i="21"/>
  <c r="T8" i="21"/>
  <c r="T10" i="21"/>
  <c r="T12" i="21"/>
  <c r="T14" i="21"/>
  <c r="T16" i="21"/>
  <c r="T18" i="21"/>
  <c r="T5" i="21"/>
  <c r="T7" i="21"/>
  <c r="T9" i="21"/>
  <c r="T11" i="21"/>
  <c r="T13" i="21"/>
  <c r="T15" i="21"/>
  <c r="T17" i="21"/>
  <c r="F15" i="2"/>
  <c r="B20" i="2"/>
  <c r="B34" i="2" s="1"/>
  <c r="B33" i="2"/>
  <c r="B22" i="2" a="1"/>
  <c r="B22" i="2" s="1"/>
  <c r="O6" i="6"/>
  <c r="O8" i="6"/>
  <c r="O10" i="6"/>
  <c r="O12" i="6"/>
  <c r="B3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swati shrichandani</author>
  </authors>
  <commentList>
    <comment ref="B5" authorId="0" shapeId="0" xr:uid="{4FFF9556-A0B2-471F-BEB5-F4AC408C922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6226053A-DB00-49E3-926E-98B2F64DF8E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FE35960F-BB91-4308-959D-C1A67F12344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4721E335-5C53-4DD7-9EEB-84BD636202E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80085BB5-8003-42E8-926B-AD4023853CE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1A67CEA9-F637-4E08-BF03-4EFF64AA80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4AEADB19-0ED5-48C4-BCEB-76BB840FD36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D4A9D0FD-DF48-4D46-9064-A37A63445DA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3" authorId="0" shapeId="0" xr:uid="{486C9CEE-BC0A-465E-9E8E-AD389A50811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4" authorId="0" shapeId="0" xr:uid="{17922C32-3F73-414B-A507-6E6CB2830FF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8BF1FA8E-947D-4D27-B366-4771942CC9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swati shrichandani</author>
  </authors>
  <commentList>
    <comment ref="B5" authorId="0" shapeId="0" xr:uid="{D7D32FB1-624C-438D-B663-216BC02FC48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1385E3ED-A9F7-43A2-8C69-833B182F58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B79B08E8-935B-46DA-8346-640FE870365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FD5ED23E-682E-40FE-B4D8-82DE3B65B66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A128C6F0-AD9B-4511-A41E-8095146B9F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2AAA8DC9-073B-47C3-84CB-4CED3E239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EC7546FE-EEB7-4786-BDD0-AA00552140C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2443E0A5-1076-43A3-8B96-ED19002126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541D7254-B7A1-400D-B922-CD1467E4A33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4" authorId="0" shapeId="0" xr:uid="{172FAC8F-F3B3-46A6-8B21-7A843BF0E7C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C0DA687C-068B-4787-860F-7F354248DB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85BD9935-920D-45F6-9658-B396C2C9082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7" authorId="0" shapeId="0" xr:uid="{E0A3D42F-77C5-4226-B818-BF0FE51F9D0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8" authorId="0" shapeId="0" xr:uid="{34FB39A5-A2A1-48CB-9A58-FB388252B9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37232656-1693-4A58-BEF6-050AE14C98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C2E8C453-F768-41CB-82EF-899C6D6A2A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swati shrichandani</author>
  </authors>
  <commentList>
    <comment ref="B5" authorId="0" shapeId="0" xr:uid="{68DFDC15-D31E-454F-AE13-59B8309D54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25104727-94E0-4BF3-A9B2-18BE33F559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" authorId="0" shapeId="0" xr:uid="{6CF5A89F-6BBE-4AA0-AF17-275ED95BA4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" authorId="0" shapeId="0" xr:uid="{F1EA2F54-A1A8-4F58-8A56-DC77B5BB36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" authorId="0" shapeId="0" xr:uid="{3B66C61D-F021-4A8D-8BB9-70F9BA3949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" authorId="0" shapeId="0" xr:uid="{A945CCAA-9AE2-4D9B-9050-68C9C2886D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" authorId="0" shapeId="0" xr:uid="{2467EA8A-0596-4031-A550-37393BF997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FAD5BF47-4567-4A28-8BC4-9D276C6CD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71E3A371-3306-4794-AA13-693E884107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FC9F5BC5-14B9-417D-BB8D-00EC2B7244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BF273935-9C4A-4AF2-BD4A-6FE658DABC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A6B4813B-C8B9-4810-BEC8-ECBA1FDFBC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E2682B1D-A4B3-487D-9033-52E2FCD1F5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8E868DAE-D281-435B-9736-CF2052B908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843C7563-FFB4-4090-89BA-69BE22BE1C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8405F25C-C709-462E-9100-3D4189DED6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FF7F1B8F-7580-44F4-B584-2B3707DD0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AB71FC0E-B9CF-4BE6-BB4E-54005D991D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0BA8D996-C9AF-42DB-87B1-09968C587A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13E0A6F9-8854-4C37-8222-1881F9BB1B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E52AD925-AC29-4F6A-8AF3-11F54226BC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B0B40C15-FEEF-44F9-8A39-A8097AF047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1C4ED4B7-2591-451D-9A52-AF7721B739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BD09305B-AD1A-4964-B0D3-85AFAB1761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47AC3651-5119-4B71-AA9D-ADB4753AEC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156F86F9-6673-4317-8702-EB5B3EE61E60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042DA879-F626-4F68-81B1-B1CCF14EFD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E5976388-1C0F-4588-A85B-1E2A0CE8DA1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2BB5A990-9DD9-41DD-A131-4586090DD7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E8C5A7AB-739C-4388-8C90-58922D8E9C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5EF032BB-81D5-4297-B1D1-D051F02768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FB77B6AF-059F-4E7A-9D12-609F320440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2D822BFE-55A6-40FC-897E-9141590C1F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2CA3A872-82CA-4CF1-BC82-7E48281145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E6F8C975-2CCE-4B2A-8B04-070FEB536E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35737FD9-6B13-458C-B935-C95AB3F67D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90537E69-6B7D-4CFD-A32C-62B83671B4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F96A7570-B1CA-4C03-AAD6-4D37DDC2E8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A6C6B0F3-29AC-44FE-868F-6C2648B15A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CCAF72D1-2454-4031-9C43-D2CD13349B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7402F5F2-90E1-4B99-93A5-B9C5717C03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2E6C45E4-9815-430D-B9AD-9FAAF9A21F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1101696A-9993-4268-A77D-125D160BD3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143D69CB-26DE-4C33-9C07-C9D4F12C45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" authorId="0" shapeId="0" xr:uid="{AE6A4A50-AD86-488F-9394-254160CECD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0381C07D-F5A6-4435-82A7-A9D2489718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93840600-FF91-464C-9CB8-2F4AA075ED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C724E70E-8971-4A7D-9939-B546244169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B4916E8F-9F5F-4A62-B937-5FA4A54ACD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C078C4B4-5344-4D04-967A-6B5B6959CA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" authorId="0" shapeId="0" xr:uid="{F2BC3F8F-7152-469A-819B-5D6D389B72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" authorId="0" shapeId="0" xr:uid="{59851108-2611-4C91-B5CF-180CEBEE67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" authorId="0" shapeId="0" xr:uid="{79177252-6B84-479E-A105-9980E5E8B8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" authorId="0" shapeId="0" xr:uid="{88DD4133-E835-463A-8FF6-8B45A62695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" authorId="0" shapeId="0" xr:uid="{91E3D094-CC5F-4527-A4B8-91620C28C0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" authorId="0" shapeId="0" xr:uid="{8D88A96A-3DF7-4DA1-A3F4-FEF90EB909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DD8E3802-B1C5-4D5C-A8D7-AEA1616B94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" authorId="0" shapeId="0" xr:uid="{DB4C9801-53E3-4EDE-B668-8D56D021BF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" authorId="0" shapeId="0" xr:uid="{73A075A5-E0B9-4D9B-8DC8-0476C9F9FE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51FF6F95-A7A3-48CD-9B06-595F4A23F9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46268251-CFD1-4F89-8CD1-0FAEE28900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" authorId="0" shapeId="0" xr:uid="{58FB4358-AECF-4A01-BFBD-625E53621CE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5" authorId="0" shapeId="0" xr:uid="{2E015997-67EC-4C85-852D-FA64DE4B1DD1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12815800-6FE7-488F-8680-61749A2D20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" authorId="0" shapeId="0" xr:uid="{954393D4-4CAB-4D06-BDC0-736158DF3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" authorId="0" shapeId="0" xr:uid="{F56403B8-42EE-4A02-B8B4-DD172152A1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" authorId="0" shapeId="0" xr:uid="{24FFF03D-3A64-40F7-8370-7C25511BAF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" authorId="0" shapeId="0" xr:uid="{11C86DA8-5276-4A0D-AD17-1FECD43255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" authorId="0" shapeId="0" xr:uid="{AEE58B33-45AF-46C0-9E14-D9FB6411A7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" authorId="0" shapeId="0" xr:uid="{FC62FAD2-1643-4CC5-A3AF-AFC03C6BD12B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EEDF700B-F434-4A59-9CEA-160017857A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" authorId="0" shapeId="0" xr:uid="{0FD84D62-8A46-4CBB-BB19-E9000D1B7A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" authorId="0" shapeId="0" xr:uid="{0FC56761-9089-4ADE-894B-55B3E81ABC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" authorId="0" shapeId="0" xr:uid="{D075103F-AFF1-4F1C-BD0D-C85DA60009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" authorId="0" shapeId="0" xr:uid="{23A08604-E816-4B5E-AE90-F539132E11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" authorId="0" shapeId="0" xr:uid="{E0C3089B-B48F-4614-ADA8-916AC206BE09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17" authorId="0" shapeId="0" xr:uid="{65EF8FD6-A2AA-47F7-9C64-345D5B29B7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18CB5767-CAA7-4820-AFC6-112D29DF49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" authorId="0" shapeId="0" xr:uid="{95F0B68C-A603-4DA3-9977-286E28E9D7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" authorId="0" shapeId="0" xr:uid="{FA113606-C2ED-4EA1-AFEC-6DAF1F450F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" authorId="0" shapeId="0" xr:uid="{B6CF221A-FB0A-4FA9-ADCC-93073FD7B0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" authorId="0" shapeId="0" xr:uid="{CAC78D10-3088-4570-A4CD-C4ADC6299D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" authorId="0" shapeId="0" xr:uid="{88B67FBA-2457-4153-8391-8DB4555CB0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" authorId="0" shapeId="0" xr:uid="{ADC394B1-330A-4AD9-BFD6-4F1384CA4F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8935F3C1-5D96-43C1-972E-899CBC023A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" authorId="0" shapeId="0" xr:uid="{F244C73F-4E96-4FBC-AD12-761C07BA85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" authorId="0" shapeId="0" xr:uid="{81FD66D6-472E-4E62-AE8C-AC484DA7F7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" authorId="0" shapeId="0" xr:uid="{5B9821B3-F128-4A97-B67F-0CBE0E5B9F7A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22A63AD6-C0F8-46F0-9124-17B84F009C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" authorId="0" shapeId="0" xr:uid="{1B3C7A4C-05C8-4C5D-A454-E7D2C302D5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CD7C77CA-6D6C-4292-8A8D-FD6F1F7944B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12900B57-266D-40B0-8A25-D359ABF612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" authorId="0" shapeId="0" xr:uid="{93B7125C-40C0-4FFF-8CE8-DB683FBE46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" authorId="0" shapeId="0" xr:uid="{49CE4613-9757-4E91-84E6-CF40A8F9EE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" authorId="0" shapeId="0" xr:uid="{4A6D7104-0492-4A2A-9F67-7770F96FDF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6EC6A4D6-D0CF-4D8D-9E52-67EBB77236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" authorId="0" shapeId="0" xr:uid="{A564D69B-6AD3-49F5-8126-450175A5F6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F18D0964-EB9E-4756-8E56-28B7DB726553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64FE7324-716D-4E71-8C1B-D39DD26C1B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3" authorId="0" shapeId="0" xr:uid="{E28E0F0B-8F62-4A2E-8AF8-437FB10684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" authorId="0" shapeId="0" xr:uid="{7543DFA5-2980-4A74-8F6E-4E7E6779F2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" authorId="0" shapeId="0" xr:uid="{373FE466-8A65-4C7C-BBB9-0405F3CC72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" authorId="0" shapeId="0" xr:uid="{3F259790-F126-4AD6-A30C-0D10E5BB67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" authorId="0" shapeId="0" xr:uid="{EBF60525-40F6-4F45-B77B-75C9811E96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" authorId="0" shapeId="0" xr:uid="{13C69847-9540-413D-91C3-16C72992F7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" authorId="0" shapeId="0" xr:uid="{4EE2B71F-774C-4E8C-AA72-5DAB82E77E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4" authorId="0" shapeId="0" xr:uid="{F7E463D2-8740-4D79-AD35-76A7662DCD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4" authorId="0" shapeId="0" xr:uid="{BBB108D5-7FA7-47C9-9723-85F6EF5323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4" authorId="0" shapeId="0" xr:uid="{27557C8B-72FA-4241-A518-D6D025E53D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" authorId="0" shapeId="0" xr:uid="{8B3CE566-FA9D-4B0D-8123-5AF43CE352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" authorId="0" shapeId="0" xr:uid="{B40393B4-7D67-4DD3-AEB1-383E792EB6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" authorId="0" shapeId="0" xr:uid="{2C74C5FB-9C46-4A10-9067-3F7B79D9D7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551D124A-DE62-4D02-9F2B-2D648ECFC3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5" authorId="0" shapeId="0" xr:uid="{D8530FF4-0A93-40DC-B93E-56F6F8524F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5" authorId="0" shapeId="0" xr:uid="{6463232F-A720-49F4-983C-B47BA3020F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5" authorId="0" shapeId="0" xr:uid="{6897C313-4053-4E1B-90C8-13A906A672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5" authorId="0" shapeId="0" xr:uid="{01A47E3F-163D-4311-8B04-3224DEF1C3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" authorId="0" shapeId="0" xr:uid="{E56F3886-5EB1-4E1B-A768-4ECE29F717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" authorId="0" shapeId="0" xr:uid="{7C26DDD7-50EE-499A-AAA4-5CDD64838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1A9AECD9-6B24-48FF-A36C-71313C6CE2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6" authorId="0" shapeId="0" xr:uid="{4A86203D-F448-43B2-B5CE-56E05CCC16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6" authorId="0" shapeId="0" xr:uid="{B63780A1-A718-4A95-A426-9CE5A77C83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6" authorId="0" shapeId="0" xr:uid="{C339449F-5808-4DD4-9F5C-F5C2630BCB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6" authorId="0" shapeId="0" xr:uid="{8AE63418-41B6-4D4A-8740-5AF4B87E6B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" authorId="0" shapeId="0" xr:uid="{37051489-B32A-4627-8B0D-DE49C5BC38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" authorId="0" shapeId="0" xr:uid="{FF2A8D35-7EFE-4763-96DD-9D4A6F9F51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99006D5E-1AE9-4BEF-B34E-042AF9F062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7" authorId="0" shapeId="0" xr:uid="{F2ABB144-091C-4A43-AB32-6915595B3A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7" authorId="0" shapeId="0" xr:uid="{381F744A-92BE-4BB7-9F13-023FC6AADF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7" authorId="0" shapeId="0" xr:uid="{E07D958F-C615-493F-BF38-13EFDF24CA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" authorId="0" shapeId="0" xr:uid="{9626A263-F997-4591-9F4E-3D770716CF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" authorId="0" shapeId="0" xr:uid="{C2770C62-3CCD-468D-8620-AF0CAEF8AE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" authorId="0" shapeId="0" xr:uid="{A56B2F3C-49C8-444E-A27F-180E093F57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FC1988D8-FA1E-4B94-97CC-E17943CCE0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8" authorId="0" shapeId="0" xr:uid="{C62A7322-E888-481F-9AEB-F1639CF5C3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8" authorId="0" shapeId="0" xr:uid="{7450715E-43C1-47AF-B368-29E8865DBE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8" authorId="0" shapeId="0" xr:uid="{9FB79D68-9A96-4D2A-809C-427F72E4B7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" authorId="0" shapeId="0" xr:uid="{B8AEEDFD-B686-4108-84A8-160C74C744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" authorId="0" shapeId="0" xr:uid="{57D6F528-6080-4074-B059-FFDE668B28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" authorId="0" shapeId="0" xr:uid="{3B9794D3-6246-4F8A-ABCE-50F24FB131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FF5E6945-C520-4D6F-82F6-FCA050D662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9" authorId="0" shapeId="0" xr:uid="{0E4AD611-B6A7-48CC-BD89-A26641F6F8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" authorId="0" shapeId="0" xr:uid="{856E3348-EDAF-4657-9175-EE37D40D57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9" authorId="0" shapeId="0" xr:uid="{8111013C-B1BB-4C6F-BF42-C7D06FE9C7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9" authorId="0" shapeId="0" xr:uid="{CF3845BF-30FE-4014-BC4C-3E3F1B73F9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" authorId="0" shapeId="0" xr:uid="{AD17B0E1-A8C8-4ED6-9779-71268F9AD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" authorId="0" shapeId="0" xr:uid="{16DC26B1-ECF4-47FA-8D0A-24C4BFE1AB1F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32" authorId="0" shapeId="0" xr:uid="{C890B62A-B097-410F-8C19-C4293FC875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2" authorId="0" shapeId="0" xr:uid="{538CA214-19FB-422A-9277-C800EDD5E9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" authorId="0" shapeId="0" xr:uid="{157432CB-705C-42B1-B107-E42CDDFE50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" authorId="0" shapeId="0" xr:uid="{83911643-C579-43E3-8B9A-6B36964516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" authorId="0" shapeId="0" xr:uid="{4257CC9C-17E0-49B5-9F91-29C01B7E6F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" authorId="0" shapeId="0" xr:uid="{70D3922E-6097-42DE-8EC8-A9BCE79AA8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2" authorId="0" shapeId="0" xr:uid="{78F866CC-3CD8-4508-B967-3FDC3AA610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" authorId="0" shapeId="0" xr:uid="{71DB3907-0BEB-48B0-B694-5DF5A89FDB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3" authorId="0" shapeId="0" xr:uid="{DB3475C3-F555-48F4-BDD2-6234AAD8A0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3" authorId="0" shapeId="0" xr:uid="{9F9DDA04-CF33-4046-BF99-645B7E605B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3" authorId="0" shapeId="0" xr:uid="{56264851-0F06-40E8-8DE9-2A78E19592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3" authorId="0" shapeId="0" xr:uid="{930C040B-4A57-42DC-9C98-D304D63B4C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3" authorId="0" shapeId="0" xr:uid="{69BCA283-502E-4134-A1FE-6902DDD9F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3" authorId="0" shapeId="0" xr:uid="{C79F4C1F-EA10-4531-87BB-DCD5B193B6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38CF6C6A-F044-4B6A-A329-9A0F19D029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4" authorId="0" shapeId="0" xr:uid="{1C112507-0EE1-45DE-A52A-C0E7DBA123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4" authorId="0" shapeId="0" xr:uid="{1355F6BC-0BCA-4BC3-9C77-6AB7424672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4" authorId="0" shapeId="0" xr:uid="{62F45AD6-A885-4632-9988-48B25F4D6A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4" authorId="0" shapeId="0" xr:uid="{AF5F3EA6-F4D8-4D9F-A012-7DF4C6FB65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4" authorId="0" shapeId="0" xr:uid="{BF8E1FD5-4DC7-4CF5-8DBA-C813F21D6C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4" authorId="0" shapeId="0" xr:uid="{875723B3-B273-46E3-A3EF-501DA55678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F1FDCE2E-3BA6-40CF-A5AE-14EE3EC4DF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5" authorId="0" shapeId="0" xr:uid="{FB8116C0-0CCE-498B-B390-BD8FDBCAC6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5" authorId="0" shapeId="0" xr:uid="{B09F1C8F-FBED-4C8B-9B71-EBA8140DF5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5" authorId="0" shapeId="0" xr:uid="{0647FABF-6747-4911-ADCF-6C1BBBD601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5" authorId="0" shapeId="0" xr:uid="{576E2DC4-A1B7-4778-9805-43710B2A0B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" authorId="0" shapeId="0" xr:uid="{8CFF83C2-87D3-4E03-A5E2-55E663CBB9E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35" authorId="0" shapeId="0" xr:uid="{7BFB3D6B-83E5-4389-A7D0-34E4C524FB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6" authorId="0" shapeId="0" xr:uid="{319EE5E2-C66D-492A-B77F-F6432CF7E9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6" authorId="0" shapeId="0" xr:uid="{7D35DD07-C1DC-4CBB-8B96-F5F3C316B0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6" authorId="0" shapeId="0" xr:uid="{4FF455FF-2D00-4A69-BEE0-EE1E2867FE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6" authorId="0" shapeId="0" xr:uid="{7B223D47-1531-4C8A-A669-D59E4D40A6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6" authorId="0" shapeId="0" xr:uid="{FE8B3C06-7DC6-4F27-A973-5D284855C2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6" authorId="0" shapeId="0" xr:uid="{6D3D1C08-AD3B-479B-B2B3-72AAE49238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6" authorId="0" shapeId="0" xr:uid="{2EA39141-6C61-4121-8A83-919711D191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" authorId="0" shapeId="0" xr:uid="{7F0CF800-4200-4466-BA69-0A536363DA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7" authorId="0" shapeId="0" xr:uid="{E3150BE9-4356-4D7F-B36C-5B0A7FC7EA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7" authorId="0" shapeId="0" xr:uid="{2D9932FF-4EB8-439E-B0E1-F9612DB9EE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7" authorId="0" shapeId="0" xr:uid="{2E271292-02CE-451C-801E-F2906E1C7D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7" authorId="0" shapeId="0" xr:uid="{AE00B667-EEAA-4597-AA6F-1A71E44EE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" authorId="0" shapeId="0" xr:uid="{4216399A-A677-4DDE-BE91-7D0D5F844E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7" authorId="0" shapeId="0" xr:uid="{5E8DEF97-E85B-4888-824E-5651067B71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8" authorId="0" shapeId="0" xr:uid="{6F8C0884-D263-45F8-93B6-373DBF1FA4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8" authorId="0" shapeId="0" xr:uid="{ADAFF8A5-03E2-4A62-B3F0-182A328827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" authorId="0" shapeId="0" xr:uid="{958002D1-FF92-4D26-A1DC-4F21CF1208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8" authorId="0" shapeId="0" xr:uid="{1BFD710F-2B0D-4358-936E-CFBAB53489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8" authorId="0" shapeId="0" xr:uid="{CE27868C-4E3A-4BE5-AB96-48B11971AE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8" authorId="0" shapeId="0" xr:uid="{E17DE488-08ED-4E5C-A2A3-5537996869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3B4C0BDF-0594-4AE8-A118-3029F982FA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1" authorId="0" shapeId="0" xr:uid="{44D7B5CF-F45A-413C-80D9-72EFC975DA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1" authorId="0" shapeId="0" xr:uid="{D151CEB7-BA1C-4F40-AD61-8116673643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" authorId="0" shapeId="0" xr:uid="{301B5EBE-BF11-4C7D-AF48-8D2364D0CB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" authorId="0" shapeId="0" xr:uid="{7F262323-AD94-4F5D-9932-705DBFBE30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" authorId="0" shapeId="0" xr:uid="{2624B656-3898-4F35-9E54-CADE40773C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" authorId="0" shapeId="0" xr:uid="{29B50B0D-D830-4936-A7A8-4A7E45F0DC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1" authorId="0" shapeId="0" xr:uid="{A144FE62-4EF2-4511-8BC3-933E7B726D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" authorId="0" shapeId="0" xr:uid="{05D833BF-6ED4-4E57-85B7-64986880A2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2" authorId="0" shapeId="0" xr:uid="{F688866C-1DF3-44C6-BB76-C14B81C170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2" authorId="0" shapeId="0" xr:uid="{5FD276C8-AD53-4EBE-88E2-291BF85EF2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2" authorId="0" shapeId="0" xr:uid="{9BC36C6C-2F55-40E6-96E2-E80E577347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2" authorId="0" shapeId="0" xr:uid="{E0B3DD31-0F5A-4DF1-9D86-4EAF315AC2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2" authorId="0" shapeId="0" xr:uid="{D1A59C68-D4E3-471F-BA36-3D8D97D753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2" authorId="0" shapeId="0" xr:uid="{FAA51FC8-D6D9-4594-824E-A4BA4645F2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3" authorId="0" shapeId="0" xr:uid="{5C6B0FE3-0120-4A7C-B6C5-CE8F29E3E4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3" authorId="0" shapeId="0" xr:uid="{B1C416A9-55F6-49DF-B52F-58683ACAC5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3" authorId="0" shapeId="0" xr:uid="{727D29AA-2EC8-4F75-8EF4-0349906D79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3" authorId="0" shapeId="0" xr:uid="{00DBB4E5-4FFF-418E-BA9B-E589E6D7A3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3" authorId="0" shapeId="0" xr:uid="{52038630-A4FB-44BA-91AA-227B8C0FA2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3" authorId="0" shapeId="0" xr:uid="{493AC715-4319-44FC-BA11-6D78630616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3" authorId="0" shapeId="0" xr:uid="{4B0F738F-B3DF-4150-9EAD-FB9C6348F8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" authorId="0" shapeId="0" xr:uid="{0C3B6C85-E400-46DB-8F46-0945DB28DC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4" authorId="0" shapeId="0" xr:uid="{D36258AB-358C-4A09-86AB-480A528980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4" authorId="0" shapeId="0" xr:uid="{EC4CB9B4-30D8-42A8-9D7D-D2DC706E4E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4" authorId="0" shapeId="0" xr:uid="{79C5EB0E-A7E4-4711-A52F-C3765DCC98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4" authorId="0" shapeId="0" xr:uid="{E8BAFB21-3B63-4D05-8D62-F23D6183A2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4" authorId="0" shapeId="0" xr:uid="{194CF0BD-A9D4-4C0E-A1C4-72BDBE1CC6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4" authorId="0" shapeId="0" xr:uid="{260116FC-0607-4898-8959-D0F2DEA8FA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5" authorId="0" shapeId="0" xr:uid="{146E9F9E-B6DF-46C8-994E-11A9FABA46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5" authorId="0" shapeId="0" xr:uid="{0B9AE304-0645-4A2C-BD0C-B824C4E82C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5" authorId="0" shapeId="0" xr:uid="{C1FA9EA9-64BF-458D-A260-3E2DB6FC55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5" authorId="0" shapeId="0" xr:uid="{8F3C491E-96C2-4628-98D1-59ECCE71E2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5" authorId="0" shapeId="0" xr:uid="{D5FA5CA9-8081-4C87-82E7-421D4E46B8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5" authorId="0" shapeId="0" xr:uid="{1FFB4501-0736-4462-A243-B81B14E079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5" authorId="0" shapeId="0" xr:uid="{17401FD5-A8B2-4108-AD7A-CD083F8191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6" authorId="0" shapeId="0" xr:uid="{C17C7F66-BADC-4687-BD15-4EBB1FEDAC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6" authorId="0" shapeId="0" xr:uid="{F8B94ED4-8416-486C-B3EA-613CE23B0C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6" authorId="0" shapeId="0" xr:uid="{6D0E4A0C-8A1B-4CC7-97D9-67E52D6D2C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6" authorId="0" shapeId="0" xr:uid="{DCD9B431-00CD-4775-B427-213A0A06B8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6" authorId="0" shapeId="0" xr:uid="{D06C278A-6B9E-4FED-9006-1F73D407E4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6" authorId="0" shapeId="0" xr:uid="{6BC0C72A-87EA-410F-8F1F-E147FA0610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6" authorId="0" shapeId="0" xr:uid="{587751BD-663D-4093-88C0-066EB82EAE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7" authorId="0" shapeId="0" xr:uid="{4F330C88-18B5-4CD8-9689-6908376D4A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7" authorId="0" shapeId="0" xr:uid="{795454FA-B341-4F1A-9D85-2F53E26C64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" authorId="0" shapeId="0" xr:uid="{135C45AF-06C3-429C-988F-42C6189073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7" authorId="0" shapeId="0" xr:uid="{8BE64B2A-5469-475A-9ABC-99A1D73E89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7" authorId="0" shapeId="0" xr:uid="{6DB6CE08-9A60-46C7-A6CC-7A9A0EBC41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7" authorId="0" shapeId="0" xr:uid="{E4C5176B-21CD-4620-BBF2-113CFD9AB0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7" authorId="0" shapeId="0" xr:uid="{8DC7B8E6-165F-486B-8D75-76FF28D8AA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0" authorId="0" shapeId="0" xr:uid="{45FEAD77-7C11-4B5B-88D0-2F598A27EF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0" authorId="0" shapeId="0" xr:uid="{451CB48C-8568-4CAA-97C4-3DA7305000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" authorId="0" shapeId="0" xr:uid="{52100ED6-D1BD-4098-B82B-586D49CBCA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" authorId="0" shapeId="0" xr:uid="{69D89617-281E-4EB1-81E4-DD98480D55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" authorId="0" shapeId="0" xr:uid="{0142E4A6-D6DE-4950-9F8E-07C8DEF5D6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" authorId="0" shapeId="0" xr:uid="{7E4A3B30-00E6-4C7E-A724-D78323A966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0" authorId="0" shapeId="0" xr:uid="{4153EA78-5EA9-4148-A9F3-F58D02527A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1" authorId="0" shapeId="0" xr:uid="{497AA91F-4AC6-4198-8C88-D2788C6EDD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1" authorId="0" shapeId="0" xr:uid="{7CE3510D-FFC4-434C-87D3-D9A6D6907A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1" authorId="0" shapeId="0" xr:uid="{CFD8E568-56B1-4A73-9E45-196D693F6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1" authorId="0" shapeId="0" xr:uid="{87EAEB5E-1EBB-4770-9EB7-E74C95F119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1" authorId="0" shapeId="0" xr:uid="{B6619BA8-BB56-44DB-B469-FF4E9BDB3D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3020D488-3F47-4D73-BCE8-A367BFAF56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81EA8CBE-9848-4A11-AA1D-E99419110E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EBD50D80-DE8A-46F4-8D78-E123BFF4FC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2" authorId="0" shapeId="0" xr:uid="{F8E08E9E-0DBB-4D61-8BBE-9412B832BF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2" authorId="0" shapeId="0" xr:uid="{94B224FC-81D3-4A87-BDB9-C85B2F520A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2" authorId="0" shapeId="0" xr:uid="{FFD076E1-E202-4C4C-9628-5977019CFF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2" authorId="0" shapeId="0" xr:uid="{EA8637B3-4C7F-4D71-BF7D-4957DC9E70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2B7995D6-C2B7-476B-B9E5-AEEE63A9C8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42F1186B-7DEF-4EB7-A089-F6C8A2C9AF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3" authorId="0" shapeId="0" xr:uid="{28B1515C-2BDB-4F3A-B437-EF91D58220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3" authorId="0" shapeId="0" xr:uid="{B4B5A506-54FC-46CE-810B-CEA6F84C13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3" authorId="0" shapeId="0" xr:uid="{FF897906-C5B5-40B5-844A-023948B25C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3" authorId="0" shapeId="0" xr:uid="{54FE9BB8-0EF9-41D8-AF8F-A9D17BCAC0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3" authorId="0" shapeId="0" xr:uid="{3D3EE434-061F-4092-AEFD-205C39CF6F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3" authorId="0" shapeId="0" xr:uid="{947EA933-4AD0-4FF4-9E81-61E3622CE6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3" authorId="0" shapeId="0" xr:uid="{F28E5264-AE60-475E-8E12-8AB9665427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4" authorId="0" shapeId="0" xr:uid="{9172E1C6-F6B5-4A37-AA5D-FD0FAA0002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4" authorId="0" shapeId="0" xr:uid="{71C65582-90A0-4B4F-87C5-35D2E068D48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4" authorId="0" shapeId="0" xr:uid="{E06B1477-664C-40F7-90F5-27E8C6105B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4" authorId="0" shapeId="0" xr:uid="{5027F635-B9EA-495B-A261-6404FDD079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4" authorId="0" shapeId="0" xr:uid="{C2A3AC59-9BC2-47EA-ABC4-805FAEF338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4" authorId="0" shapeId="0" xr:uid="{8A06ABF2-C5A9-40FF-AB90-AC19001630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4" authorId="0" shapeId="0" xr:uid="{B9532406-33A4-417C-931A-604EEE0203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5" authorId="0" shapeId="0" xr:uid="{A6BA1751-F2EF-421A-AC1F-ED71D4DDA9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5" authorId="0" shapeId="0" xr:uid="{51E1DA7A-7A45-40F6-BF1C-261D9275B8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5" authorId="0" shapeId="0" xr:uid="{51177764-230E-4331-B118-B43E373D5C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5" authorId="0" shapeId="0" xr:uid="{2549DC45-DB2E-44C6-A361-8FE9D64CD0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5" authorId="0" shapeId="0" xr:uid="{BA2FD7B0-945A-4F96-AB74-89502328EB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5" authorId="0" shapeId="0" xr:uid="{FBC4559E-C013-49A0-AFDA-13C8CB13F5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5" authorId="0" shapeId="0" xr:uid="{E229234C-E830-41F5-9727-3D5CB8327F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6" authorId="0" shapeId="0" xr:uid="{C295E554-8448-4C79-BA74-2FA3550EC2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6" authorId="0" shapeId="0" xr:uid="{0E7DF684-8F93-4065-9221-77E3319747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6" authorId="0" shapeId="0" xr:uid="{B5C30DFD-42C8-465E-AB89-194D640260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6" authorId="0" shapeId="0" xr:uid="{1C74BFC8-F99B-474C-BD80-EE37C2394D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6" authorId="0" shapeId="0" xr:uid="{7D3B6B56-11DC-47EC-99EE-2B572C869A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6" authorId="0" shapeId="0" xr:uid="{951AD6E5-E23D-4BAA-B07B-DDD90E4FCB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6" authorId="0" shapeId="0" xr:uid="{C82BC8A0-D97E-480F-9F07-2AD7C3ADCB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9" authorId="0" shapeId="0" xr:uid="{12F37614-AA3E-4550-B627-EC019AA9BF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9" authorId="0" shapeId="0" xr:uid="{E9CF7851-604B-4418-89DA-A9F502EB96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9" authorId="0" shapeId="0" xr:uid="{1A807D99-B3D3-4220-8EF0-1FBBEF4D03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9" authorId="0" shapeId="0" xr:uid="{D3CB8468-BA8C-47B3-8175-B812D79611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9" authorId="0" shapeId="0" xr:uid="{CB6C4228-E061-491E-A804-0293B38B65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9" authorId="0" shapeId="0" xr:uid="{F572E290-5A86-41D5-8923-848943120C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9" authorId="0" shapeId="0" xr:uid="{010C4383-3FE6-40E5-BE2C-F5BD5491DF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0" authorId="0" shapeId="0" xr:uid="{DE6C01D6-0715-4482-8CF1-046090262E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0" authorId="0" shapeId="0" xr:uid="{7FBD8C5E-720C-4061-A24F-C833F79DF9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0" authorId="0" shapeId="0" xr:uid="{33091C76-BBCF-4FBC-951B-FE4CE9A914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0" authorId="0" shapeId="0" xr:uid="{A5AEA33F-1E31-4F1F-9A5E-207F101F7A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0" authorId="0" shapeId="0" xr:uid="{E755E6F7-5E72-4AA8-BA1F-F73FC18053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0" authorId="0" shapeId="0" xr:uid="{F35F841B-F364-4E66-A1EF-C9F5152C24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0" authorId="0" shapeId="0" xr:uid="{FAD2D97A-B7B4-4382-9BDB-7035553064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D6D4D9DC-991C-49F9-A30F-2ACB85E50E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1" authorId="0" shapeId="0" xr:uid="{9CC6BCE2-83CA-41B9-8353-4626AF0BA7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1" authorId="0" shapeId="0" xr:uid="{58B4F213-D46D-41F0-889B-975CE250A6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1" authorId="0" shapeId="0" xr:uid="{8F28B3B4-F8AB-45A9-B6F5-55C6DA827D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1" authorId="0" shapeId="0" xr:uid="{E36876AF-B1F2-4AFD-87D4-ECCBA93FC3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1" authorId="0" shapeId="0" xr:uid="{C8FE1663-1BE0-4018-9815-B67E459BF9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E1455315-35E7-4A32-A3B2-CCEB9CF3C5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3A0C2FC5-227B-4D04-B9C2-75B9C32879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2" authorId="0" shapeId="0" xr:uid="{4FA8DE1C-5D03-413C-AA00-0A92337A10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2" authorId="0" shapeId="0" xr:uid="{FB4C1F83-0539-4FEC-B8EE-747589CADB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2" authorId="0" shapeId="0" xr:uid="{AE6ED7E3-3A5E-4E16-B65E-A0767017C6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2" authorId="0" shapeId="0" xr:uid="{EBCCF2D8-EF89-4A8A-BA99-678DD00AC5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2" authorId="0" shapeId="0" xr:uid="{A66B4802-5DF9-416B-BB64-05979374E7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6DA14B42-648F-4D47-8C25-4BC7396E2A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3" authorId="0" shapeId="0" xr:uid="{E2B537AD-291E-49BC-8F39-4BA6024DAE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3" authorId="0" shapeId="0" xr:uid="{CA5B89C8-F987-4744-8EEF-E1D3A00DA4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3" authorId="0" shapeId="0" xr:uid="{D4E604CB-C198-4304-A44B-F4CEE0D1A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3" authorId="0" shapeId="0" xr:uid="{9AB88CCC-0031-4148-BAEA-5DD454A847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3" authorId="0" shapeId="0" xr:uid="{759DF88E-122B-4083-BFC5-89E907B392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3" authorId="0" shapeId="0" xr:uid="{4A203BA9-60EF-4CB2-9193-98483F76BF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3" authorId="0" shapeId="0" xr:uid="{8EEFA2A1-5C73-40CD-84A9-052DEB8013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4" authorId="0" shapeId="0" xr:uid="{7D80AB58-C28C-432B-8BD6-9165864728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4" authorId="0" shapeId="0" xr:uid="{05ECE96C-4D45-40A8-9B3F-0DDD2CB0E9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4" authorId="0" shapeId="0" xr:uid="{BD15C6A3-C53B-453A-A4D1-487824E30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4" authorId="0" shapeId="0" xr:uid="{4FFC865F-EE3B-48C8-A90D-62FFB5D580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4" authorId="0" shapeId="0" xr:uid="{C8FDF5F0-65FA-4F4D-8944-4A06EA94C3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4" authorId="0" shapeId="0" xr:uid="{F7F29E47-4375-45AA-99F3-7CA8FA0A5F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4" authorId="0" shapeId="0" xr:uid="{DBFAF263-576F-465C-A6AE-C528C0C8EF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5" authorId="0" shapeId="0" xr:uid="{25BDB991-9CA5-4C23-AE3C-B1202DC257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5" authorId="0" shapeId="0" xr:uid="{987792DD-8C22-4EB7-A733-596D21450A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5" authorId="0" shapeId="0" xr:uid="{1E5DA4CD-3375-4BE4-8414-E28E0C1F92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5" authorId="0" shapeId="0" xr:uid="{8EC0A204-6810-495C-827A-5D152E8BFC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5" authorId="0" shapeId="0" xr:uid="{28B87461-43B3-4279-8EE3-A56D3ED7E6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5" authorId="0" shapeId="0" xr:uid="{C8661E62-8CFB-42CD-BFD6-E31C9F04A9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5" authorId="0" shapeId="0" xr:uid="{42C609AB-F5AF-45BC-B787-8DF6776032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<sst xmlns="http://schemas.openxmlformats.org/spreadsheetml/2006/main" count="348" uniqueCount="179">
  <si>
    <t>&gt;=</t>
  </si>
  <si>
    <t>Investment in Newspaper atleast 5%</t>
  </si>
  <si>
    <t>Investment in Television atleast 30%</t>
  </si>
  <si>
    <t>&lt;=</t>
  </si>
  <si>
    <t>Total ad cost &lt;=2.9billion</t>
  </si>
  <si>
    <t>Customer aged above 55 years</t>
  </si>
  <si>
    <t>Customer aged 46-55 years</t>
  </si>
  <si>
    <t>Customers aged 36 -45 years</t>
  </si>
  <si>
    <t>Customers aged 26 - 35 years</t>
  </si>
  <si>
    <t>Customers aged 16- 25years</t>
  </si>
  <si>
    <t>Customers aged 5-15 years</t>
  </si>
  <si>
    <t>RHS</t>
  </si>
  <si>
    <t>LHS</t>
  </si>
  <si>
    <t xml:space="preserve">Constraints </t>
  </si>
  <si>
    <t>Constraints on numbers of exposures</t>
  </si>
  <si>
    <t>Objective to maximize number of exposures in millions</t>
  </si>
  <si>
    <t xml:space="preserve">Cost </t>
  </si>
  <si>
    <t>Number of ads purchased</t>
  </si>
  <si>
    <t xml:space="preserve">Advertising Decisions </t>
  </si>
  <si>
    <t>Cost per ad per platform</t>
  </si>
  <si>
    <t>Cost per thousand impression (CPM)</t>
  </si>
  <si>
    <t>Thousand</t>
  </si>
  <si>
    <t xml:space="preserve">Million </t>
  </si>
  <si>
    <t xml:space="preserve">Billion </t>
  </si>
  <si>
    <t>Digital</t>
  </si>
  <si>
    <t>Outdoor</t>
  </si>
  <si>
    <t>TV</t>
  </si>
  <si>
    <t>Radio</t>
  </si>
  <si>
    <t>Magazine</t>
  </si>
  <si>
    <t>Newspaper</t>
  </si>
  <si>
    <t xml:space="preserve">Pepsico Advertising Model </t>
  </si>
  <si>
    <t>Constraints</t>
  </si>
  <si>
    <t xml:space="preserve">&gt;= </t>
  </si>
  <si>
    <t>Number of ad purchased From youtube atleast 6</t>
  </si>
  <si>
    <t xml:space="preserve">RHS </t>
  </si>
  <si>
    <t xml:space="preserve">LHS </t>
  </si>
  <si>
    <t>Objective to minimize total cost</t>
  </si>
  <si>
    <t>Cost per ad per website</t>
  </si>
  <si>
    <t>Cost per million exposures per show</t>
  </si>
  <si>
    <t>Cost per thousand impressions</t>
  </si>
  <si>
    <t>Total exposures</t>
  </si>
  <si>
    <t>Twitter</t>
  </si>
  <si>
    <t>Instagram</t>
  </si>
  <si>
    <t>LinkedIn</t>
  </si>
  <si>
    <t>Youtube</t>
  </si>
  <si>
    <t>Facebook</t>
  </si>
  <si>
    <t>Inputs</t>
  </si>
  <si>
    <t>Advertising Model</t>
  </si>
  <si>
    <t>$D$32</t>
  </si>
  <si>
    <t>$C$19,$B$22</t>
  </si>
  <si>
    <t xml:space="preserve">Impact of numbers of pepsi ad on youtube on Total Cost </t>
  </si>
  <si>
    <t>Oneway analysis for Solver model in Pepsico Digital Marketing worksheet</t>
  </si>
  <si>
    <t>Impact of numbers of pepsi ad on youtube on Total Cost  (cell $D$32) values along side, output cell(s) along top</t>
  </si>
  <si>
    <t>$C$19</t>
  </si>
  <si>
    <t>$B$22</t>
  </si>
  <si>
    <t>Data for chart</t>
  </si>
  <si>
    <t>Oneway analysis for Solver model in Pepsi Advertising Model worksheet</t>
  </si>
  <si>
    <t>Impact of Changing Budget on number of exposures</t>
  </si>
  <si>
    <t>Pepsico Advertising  Model</t>
  </si>
  <si>
    <t>Decision Variables</t>
  </si>
  <si>
    <t>Total Number of Newspaper exposures</t>
  </si>
  <si>
    <t>Total Number of Magazine exposures</t>
  </si>
  <si>
    <t>E2</t>
  </si>
  <si>
    <t>Total Number of Radio exposures</t>
  </si>
  <si>
    <t>E3</t>
  </si>
  <si>
    <t>Total Number of Television exposures</t>
  </si>
  <si>
    <t>E4</t>
  </si>
  <si>
    <t>Total Number of Outdoor exposures</t>
  </si>
  <si>
    <t>Total Number of Internet exposures</t>
  </si>
  <si>
    <t>E5</t>
  </si>
  <si>
    <t>E6</t>
  </si>
  <si>
    <t>E1</t>
  </si>
  <si>
    <t>Number of ads purchased on Newspaper</t>
  </si>
  <si>
    <t>Number of ads purchased on Magazine</t>
  </si>
  <si>
    <t>Number of ads purchased on Radio</t>
  </si>
  <si>
    <t>Number of ads purchased on Television</t>
  </si>
  <si>
    <t>Number of ads purchased on OutDoor</t>
  </si>
  <si>
    <t>Number of ads purchased on Internet</t>
  </si>
  <si>
    <t>A1</t>
  </si>
  <si>
    <t>A2</t>
  </si>
  <si>
    <t>A3</t>
  </si>
  <si>
    <t>A4</t>
  </si>
  <si>
    <t>A5</t>
  </si>
  <si>
    <t>A6</t>
  </si>
  <si>
    <t>Objective Function</t>
  </si>
  <si>
    <t>Maximize total number of exposures</t>
  </si>
  <si>
    <t>Max: E1*A1 +  E2*A2 +  E3*A3 +  E4*A4+ E5*A5 + E6*A6</t>
  </si>
  <si>
    <t>Constraints:</t>
  </si>
  <si>
    <t>Total advertisement cost &lt;=2.9billion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</si>
  <si>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sum</t>
    </r>
  </si>
  <si>
    <t>V2</t>
  </si>
  <si>
    <t>V3</t>
  </si>
  <si>
    <t>V4</t>
  </si>
  <si>
    <t>V5</t>
  </si>
  <si>
    <t>V6</t>
  </si>
  <si>
    <t>V1</t>
  </si>
  <si>
    <t>Minimum Required Exposure Customers aged 5-15 years</t>
  </si>
  <si>
    <t>Minimum Required Exposure Customers aged 16- 25years</t>
  </si>
  <si>
    <t>Minimum Required Exposure Customers aged 26 - 35 years</t>
  </si>
  <si>
    <t>Minimum Required Exposure Customers aged 36 -45 years</t>
  </si>
  <si>
    <t>Minimum Required Exposure Customer aged 46-55 years</t>
  </si>
  <si>
    <t>Minimum Required Exposure Customer aged above 55 years</t>
  </si>
  <si>
    <t>Customers aged 5-15 years on each platform</t>
  </si>
  <si>
    <t>Customers aged 16- 25years on each platform</t>
  </si>
  <si>
    <t>Customers aged 26 - 35 years  on each platform</t>
  </si>
  <si>
    <t>Customers aged 36 -45 years  on each platform</t>
  </si>
  <si>
    <t>Customer aged 46-55 years  on each platform</t>
  </si>
  <si>
    <t>Customer aged above 55 years  on each platform</t>
  </si>
  <si>
    <r>
      <t>V1*A</t>
    </r>
    <r>
      <rPr>
        <b/>
        <vertAlign val="subscript"/>
        <sz val="11"/>
        <color theme="1"/>
        <rFont val="Calibri"/>
        <family val="2"/>
        <scheme val="minor"/>
      </rPr>
      <t xml:space="preserve">sum </t>
    </r>
    <r>
      <rPr>
        <b/>
        <sz val="11"/>
        <color theme="1"/>
        <rFont val="Calibri"/>
        <family val="2"/>
        <scheme val="minor"/>
      </rPr>
      <t xml:space="preserve">                 </t>
    </r>
  </si>
  <si>
    <r>
      <t>V2*A</t>
    </r>
    <r>
      <rPr>
        <b/>
        <vertAlign val="subscript"/>
        <sz val="11"/>
        <color theme="1"/>
        <rFont val="Calibri"/>
        <family val="2"/>
        <scheme val="minor"/>
      </rPr>
      <t xml:space="preserve">sum </t>
    </r>
    <r>
      <rPr>
        <b/>
        <sz val="11"/>
        <color theme="1"/>
        <rFont val="Calibri"/>
        <family val="2"/>
        <scheme val="minor"/>
      </rPr>
      <t xml:space="preserve">                 </t>
    </r>
  </si>
  <si>
    <r>
      <t>V3*A</t>
    </r>
    <r>
      <rPr>
        <b/>
        <vertAlign val="subscript"/>
        <sz val="11"/>
        <color theme="1"/>
        <rFont val="Calibri"/>
        <family val="2"/>
        <scheme val="minor"/>
      </rPr>
      <t xml:space="preserve">sum </t>
    </r>
    <r>
      <rPr>
        <b/>
        <sz val="11"/>
        <color theme="1"/>
        <rFont val="Calibri"/>
        <family val="2"/>
        <scheme val="minor"/>
      </rPr>
      <t xml:space="preserve">                 </t>
    </r>
  </si>
  <si>
    <r>
      <t>V4*A</t>
    </r>
    <r>
      <rPr>
        <b/>
        <vertAlign val="subscript"/>
        <sz val="11"/>
        <color theme="1"/>
        <rFont val="Calibri"/>
        <family val="2"/>
        <scheme val="minor"/>
      </rPr>
      <t xml:space="preserve">sum </t>
    </r>
    <r>
      <rPr>
        <b/>
        <sz val="11"/>
        <color theme="1"/>
        <rFont val="Calibri"/>
        <family val="2"/>
        <scheme val="minor"/>
      </rPr>
      <t xml:space="preserve">                 </t>
    </r>
  </si>
  <si>
    <r>
      <t>V5*A</t>
    </r>
    <r>
      <rPr>
        <b/>
        <vertAlign val="subscript"/>
        <sz val="11"/>
        <color theme="1"/>
        <rFont val="Calibri"/>
        <family val="2"/>
        <scheme val="minor"/>
      </rPr>
      <t xml:space="preserve">sum </t>
    </r>
    <r>
      <rPr>
        <b/>
        <sz val="11"/>
        <color theme="1"/>
        <rFont val="Calibri"/>
        <family val="2"/>
        <scheme val="minor"/>
      </rPr>
      <t xml:space="preserve">                 </t>
    </r>
  </si>
  <si>
    <r>
      <t>V6*A</t>
    </r>
    <r>
      <rPr>
        <b/>
        <vertAlign val="subscript"/>
        <sz val="11"/>
        <color theme="1"/>
        <rFont val="Calibri"/>
        <family val="2"/>
        <scheme val="minor"/>
      </rPr>
      <t xml:space="preserve">sum </t>
    </r>
    <r>
      <rPr>
        <b/>
        <sz val="11"/>
        <color theme="1"/>
        <rFont val="Calibri"/>
        <family val="2"/>
        <scheme val="minor"/>
      </rPr>
      <t xml:space="preserve">                 </t>
    </r>
  </si>
  <si>
    <t xml:space="preserve"> &gt;=</t>
  </si>
  <si>
    <t xml:space="preserve">Asum  </t>
  </si>
  <si>
    <t>C1</t>
  </si>
  <si>
    <t>C2</t>
  </si>
  <si>
    <t>C3</t>
  </si>
  <si>
    <t>C4</t>
  </si>
  <si>
    <t>C5</t>
  </si>
  <si>
    <t>C6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</si>
  <si>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sum</t>
    </r>
  </si>
  <si>
    <t xml:space="preserve"> Cost of Advertisement on Newspaper</t>
  </si>
  <si>
    <t>Cost of Advertisement on Magazine</t>
  </si>
  <si>
    <t xml:space="preserve"> Cost of Advertisement on Radio</t>
  </si>
  <si>
    <t xml:space="preserve"> Cost of Advertisement on Television</t>
  </si>
  <si>
    <t xml:space="preserve"> Cost of Advertisement on Outdoor</t>
  </si>
  <si>
    <t>Cost of Advertisement on Internet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</si>
  <si>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sum</t>
    </r>
    <r>
      <rPr>
        <b/>
        <sz val="11"/>
        <color theme="1"/>
        <rFont val="Calibri"/>
        <family val="2"/>
        <scheme val="minor"/>
      </rPr>
      <t xml:space="preserve"> * A</t>
    </r>
    <r>
      <rPr>
        <b/>
        <vertAlign val="subscript"/>
        <sz val="11"/>
        <color theme="1"/>
        <rFont val="Calibri"/>
        <family val="2"/>
        <scheme val="minor"/>
      </rPr>
      <t>sum</t>
    </r>
  </si>
  <si>
    <t xml:space="preserve">       &lt;=</t>
  </si>
  <si>
    <t>30/100*2900000000</t>
  </si>
  <si>
    <t>C4* A4</t>
  </si>
  <si>
    <t>C1*A1</t>
  </si>
  <si>
    <t>5/100*2900000000</t>
  </si>
  <si>
    <t>PepsiCo Digital Advertising Mathematical Model</t>
  </si>
  <si>
    <t>Minimize Total Digital Spending</t>
  </si>
  <si>
    <t>Min:  C1*A1 + C2*A2 + C3*A3+ C4*A4 + C5*A5 + C6* A6</t>
  </si>
  <si>
    <t>Number of advertisments purchased atleast 6</t>
  </si>
  <si>
    <t>Cost of Advertisement on Youtube</t>
  </si>
  <si>
    <t>Number of ads purchased on Facebook</t>
  </si>
  <si>
    <t>Number of ads purchased on Youtube</t>
  </si>
  <si>
    <t>Number of ads purchased on LinkedIn</t>
  </si>
  <si>
    <t>Number of ads purchased on Instagram</t>
  </si>
  <si>
    <t>Number of ads purchased on Twitter</t>
  </si>
  <si>
    <t>Cost of Advertisement on Facebook</t>
  </si>
  <si>
    <t>Cost of Advertisement on LinkedIn</t>
  </si>
  <si>
    <t>Cost of Advertisement on Instagram</t>
  </si>
  <si>
    <t>Cost of Advertisement on Twitter</t>
  </si>
  <si>
    <t>Customer aged 55 years and above  on each platform</t>
  </si>
  <si>
    <t xml:space="preserve">                &gt;= </t>
  </si>
  <si>
    <t>Total exposures per platform</t>
  </si>
  <si>
    <t>$B$19:$G$19,$B$22</t>
  </si>
  <si>
    <t>Impact of Changing Budget on number of exposures (cell $D$32) values along side, output cell(s) along top</t>
  </si>
  <si>
    <t>$B$19</t>
  </si>
  <si>
    <t>$D$19</t>
  </si>
  <si>
    <t>$E$19</t>
  </si>
  <si>
    <t>$F$19</t>
  </si>
  <si>
    <t>$G$19</t>
  </si>
  <si>
    <t>Not feasible</t>
  </si>
  <si>
    <t>A1, A2, A3, A4, A5, A6 &gt; 0 and Integer</t>
  </si>
  <si>
    <t>$D$27</t>
  </si>
  <si>
    <t/>
  </si>
  <si>
    <t>$D$28</t>
  </si>
  <si>
    <t>Impact of Changing Minimum Required Exposures in age category 16-25 on Number of Ads purchased and total exposures</t>
  </si>
  <si>
    <t>Impact of Changing Exposures on Age category 26-35 on Number of ads purchased and Total exposures</t>
  </si>
  <si>
    <t>Twoway analysis for Solver model in Pepsi Advertising Model worksheet</t>
  </si>
  <si>
    <t>Impact of Changing Minimum Required Exposures in age category 16-25 on Number of Ads purchased and total exposures (cell $D$27) values along side, Impact of Changing Exposures on Age category 26-35 on Number of ads purchased and Total exposures (cell $D$28) values along top, output cell in corner</t>
  </si>
  <si>
    <t>Output and Impact of Changing Minimum Required Exposures in age category 16-25 on Number of Ads purchased and total exposures value for chart</t>
  </si>
  <si>
    <t>Output</t>
  </si>
  <si>
    <t>Impact of Changing Minimum Required Exposures in age category 16-25 on Number of Ads purchased and total exposures value</t>
  </si>
  <si>
    <t>Output and Impact of Changing Exposures on Age category 26-35 on Number of ads purchased and Total exposures value for chart</t>
  </si>
  <si>
    <t>Impact of Changing Exposures on Age category 26-35 on Number of ads purchased and Total exposures value</t>
  </si>
  <si>
    <t>A1, A2, A3, A4, A5 &gt; 0 and Integer</t>
  </si>
  <si>
    <t>300 (in million)</t>
  </si>
  <si>
    <t>500 (in million)</t>
  </si>
  <si>
    <t>450 (in million)</t>
  </si>
  <si>
    <t>200 (in million)</t>
  </si>
  <si>
    <t>100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</si>
</sst>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;\-&quot;$&quot;#,##0"/>
    <numFmt numFmtId="166" formatCode="&quot;$&quot;#,##0.00;\-&quot;$&quot;#,##0.00"/>
    <numFmt numFmtId="167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color rgb="FF0000FF"/>
      <name val="Arial"/>
      <family val="2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0"/>
      <color theme="8" tint="-0.249977111117893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2" applyFont="1"/>
    <xf numFmtId="0" fontId="5" fillId="0" borderId="1" xfId="2" applyFont="1" applyBorder="1"/>
    <xf numFmtId="164" fontId="3" fillId="0" borderId="0" xfId="2" applyNumberFormat="1"/>
    <xf numFmtId="0" fontId="6" fillId="0" borderId="1" xfId="2" applyFont="1" applyBorder="1"/>
    <xf numFmtId="0" fontId="3" fillId="0" borderId="0" xfId="2"/>
    <xf numFmtId="164" fontId="6" fillId="0" borderId="0" xfId="2" applyNumberFormat="1" applyFont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" xfId="2" applyFont="1" applyBorder="1" applyAlignment="1">
      <alignment wrapText="1"/>
    </xf>
    <xf numFmtId="0" fontId="6" fillId="0" borderId="0" xfId="2" applyFont="1" applyAlignment="1">
      <alignment horizontal="center" wrapText="1"/>
    </xf>
    <xf numFmtId="0" fontId="7" fillId="0" borderId="1" xfId="2" applyFont="1" applyBorder="1" applyAlignment="1">
      <alignment horizontal="center" wrapText="1"/>
    </xf>
    <xf numFmtId="0" fontId="7" fillId="0" borderId="1" xfId="2" applyFont="1" applyBorder="1" applyAlignment="1">
      <alignment horizontal="left"/>
    </xf>
    <xf numFmtId="0" fontId="6" fillId="0" borderId="0" xfId="2" applyFont="1"/>
    <xf numFmtId="0" fontId="7" fillId="0" borderId="0" xfId="2" applyFont="1"/>
    <xf numFmtId="164" fontId="3" fillId="0" borderId="1" xfId="2" applyNumberFormat="1" applyBorder="1"/>
    <xf numFmtId="0" fontId="6" fillId="0" borderId="2" xfId="2" quotePrefix="1" applyFont="1" applyBorder="1" applyAlignment="1">
      <alignment horizontal="left"/>
    </xf>
    <xf numFmtId="1" fontId="4" fillId="0" borderId="0" xfId="2" applyNumberFormat="1" applyFont="1"/>
    <xf numFmtId="0" fontId="6" fillId="0" borderId="4" xfId="2" applyFont="1" applyBorder="1"/>
    <xf numFmtId="0" fontId="3" fillId="3" borderId="5" xfId="2" applyFill="1" applyBorder="1"/>
    <xf numFmtId="0" fontId="3" fillId="3" borderId="6" xfId="2" applyFill="1" applyBorder="1"/>
    <xf numFmtId="0" fontId="7" fillId="3" borderId="4" xfId="2" applyFont="1" applyFill="1" applyBorder="1"/>
    <xf numFmtId="0" fontId="3" fillId="3" borderId="7" xfId="2" applyFill="1" applyBorder="1"/>
    <xf numFmtId="0" fontId="3" fillId="3" borderId="0" xfId="2" applyFill="1"/>
    <xf numFmtId="0" fontId="7" fillId="3" borderId="8" xfId="2" applyFont="1" applyFill="1" applyBorder="1"/>
    <xf numFmtId="164" fontId="6" fillId="3" borderId="9" xfId="2" applyNumberFormat="1" applyFont="1" applyFill="1" applyBorder="1" applyAlignment="1">
      <alignment horizontal="center"/>
    </xf>
    <xf numFmtId="164" fontId="6" fillId="3" borderId="10" xfId="2" applyNumberFormat="1" applyFont="1" applyFill="1" applyBorder="1" applyAlignment="1">
      <alignment horizontal="center"/>
    </xf>
    <xf numFmtId="0" fontId="6" fillId="3" borderId="11" xfId="2" applyFont="1" applyFill="1" applyBorder="1"/>
    <xf numFmtId="0" fontId="6" fillId="0" borderId="11" xfId="2" applyFont="1" applyBorder="1"/>
    <xf numFmtId="164" fontId="6" fillId="0" borderId="1" xfId="2" applyNumberFormat="1" applyFont="1" applyBorder="1" applyAlignment="1">
      <alignment horizontal="center"/>
    </xf>
    <xf numFmtId="0" fontId="6" fillId="0" borderId="2" xfId="2" applyFont="1" applyBorder="1"/>
    <xf numFmtId="0" fontId="5" fillId="0" borderId="0" xfId="2" applyFont="1"/>
    <xf numFmtId="2" fontId="5" fillId="0" borderId="0" xfId="2" applyNumberFormat="1" applyFont="1" applyAlignment="1">
      <alignment horizontal="center"/>
    </xf>
    <xf numFmtId="0" fontId="6" fillId="0" borderId="2" xfId="2" applyFont="1" applyBorder="1" applyAlignment="1">
      <alignment wrapText="1"/>
    </xf>
    <xf numFmtId="0" fontId="7" fillId="0" borderId="0" xfId="2" applyFont="1" applyAlignment="1">
      <alignment horizontal="center" wrapText="1"/>
    </xf>
    <xf numFmtId="0" fontId="9" fillId="0" borderId="0" xfId="2" applyFont="1"/>
    <xf numFmtId="0" fontId="3" fillId="0" borderId="1" xfId="2" applyBorder="1"/>
    <xf numFmtId="0" fontId="7" fillId="0" borderId="1" xfId="2" applyFont="1" applyBorder="1" applyAlignment="1">
      <alignment horizontal="center"/>
    </xf>
    <xf numFmtId="165" fontId="4" fillId="0" borderId="0" xfId="2" applyNumberFormat="1" applyFont="1"/>
    <xf numFmtId="0" fontId="4" fillId="0" borderId="0" xfId="2" quotePrefix="1" applyFont="1" applyAlignment="1">
      <alignment horizontal="center"/>
    </xf>
    <xf numFmtId="0" fontId="5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 wrapText="1"/>
    </xf>
    <xf numFmtId="0" fontId="6" fillId="0" borderId="1" xfId="2" applyFont="1" applyBorder="1" applyAlignment="1">
      <alignment horizontal="center" wrapText="1"/>
    </xf>
    <xf numFmtId="166" fontId="8" fillId="2" borderId="1" xfId="2" applyNumberFormat="1" applyFont="1" applyFill="1" applyBorder="1" applyAlignment="1">
      <alignment horizontal="center"/>
    </xf>
    <xf numFmtId="0" fontId="7" fillId="0" borderId="1" xfId="2" quotePrefix="1" applyFont="1" applyBorder="1" applyAlignment="1">
      <alignment horizontal="left" wrapText="1"/>
    </xf>
    <xf numFmtId="2" fontId="3" fillId="0" borderId="0" xfId="2" applyNumberFormat="1"/>
    <xf numFmtId="0" fontId="6" fillId="3" borderId="1" xfId="2" applyFont="1" applyFill="1" applyBorder="1" applyAlignment="1">
      <alignment horizontal="center"/>
    </xf>
    <xf numFmtId="0" fontId="7" fillId="0" borderId="8" xfId="2" applyFont="1" applyBorder="1" applyAlignment="1">
      <alignment horizontal="center" wrapText="1"/>
    </xf>
    <xf numFmtId="0" fontId="7" fillId="0" borderId="8" xfId="2" applyFont="1" applyBorder="1" applyAlignment="1">
      <alignment wrapText="1"/>
    </xf>
    <xf numFmtId="0" fontId="7" fillId="0" borderId="0" xfId="2" applyFont="1" applyAlignment="1">
      <alignment wrapText="1"/>
    </xf>
    <xf numFmtId="164" fontId="6" fillId="0" borderId="2" xfId="2" applyNumberFormat="1" applyFont="1" applyBorder="1" applyAlignment="1">
      <alignment horizontal="center"/>
    </xf>
    <xf numFmtId="0" fontId="7" fillId="0" borderId="0" xfId="2" applyFont="1" applyBorder="1" applyAlignment="1">
      <alignment wrapText="1"/>
    </xf>
    <xf numFmtId="164" fontId="6" fillId="0" borderId="0" xfId="2" applyNumberFormat="1" applyFont="1" applyBorder="1" applyAlignment="1">
      <alignment horizontal="center"/>
    </xf>
    <xf numFmtId="0" fontId="6" fillId="0" borderId="12" xfId="2" applyFont="1" applyBorder="1" applyAlignment="1">
      <alignment horizontal="center"/>
    </xf>
    <xf numFmtId="0" fontId="7" fillId="0" borderId="0" xfId="2" applyFont="1" applyBorder="1" applyAlignment="1">
      <alignment horizontal="center" wrapText="1"/>
    </xf>
    <xf numFmtId="49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 textRotation="90"/>
    </xf>
    <xf numFmtId="0" fontId="0" fillId="0" borderId="7" xfId="0" applyBorder="1"/>
    <xf numFmtId="0" fontId="0" fillId="0" borderId="5" xfId="0" applyBorder="1"/>
    <xf numFmtId="0" fontId="0" fillId="4" borderId="0" xfId="0" applyFill="1" applyAlignment="1">
      <alignment horizontal="right" textRotation="90"/>
    </xf>
    <xf numFmtId="0" fontId="10" fillId="0" borderId="0" xfId="0" applyFont="1"/>
    <xf numFmtId="164" fontId="0" fillId="0" borderId="11" xfId="0" applyNumberFormat="1" applyBorder="1"/>
    <xf numFmtId="166" fontId="0" fillId="0" borderId="9" xfId="0" applyNumberFormat="1" applyBorder="1"/>
    <xf numFmtId="164" fontId="0" fillId="0" borderId="8" xfId="0" applyNumberFormat="1" applyBorder="1"/>
    <xf numFmtId="166" fontId="0" fillId="0" borderId="7" xfId="0" applyNumberFormat="1" applyBorder="1"/>
    <xf numFmtId="164" fontId="0" fillId="0" borderId="4" xfId="0" applyNumberFormat="1" applyBorder="1"/>
    <xf numFmtId="166" fontId="0" fillId="0" borderId="5" xfId="0" applyNumberFormat="1" applyBorder="1"/>
    <xf numFmtId="0" fontId="0" fillId="0" borderId="0" xfId="0" applyBorder="1"/>
    <xf numFmtId="0" fontId="0" fillId="0" borderId="6" xfId="0" applyBorder="1"/>
    <xf numFmtId="164" fontId="0" fillId="0" borderId="10" xfId="0" applyNumberFormat="1" applyBorder="1"/>
    <xf numFmtId="39" fontId="0" fillId="0" borderId="9" xfId="0" applyNumberFormat="1" applyBorder="1"/>
    <xf numFmtId="164" fontId="0" fillId="0" borderId="0" xfId="0" applyNumberFormat="1" applyBorder="1"/>
    <xf numFmtId="39" fontId="0" fillId="0" borderId="7" xfId="0" applyNumberFormat="1" applyBorder="1"/>
    <xf numFmtId="0" fontId="0" fillId="0" borderId="1" xfId="0" applyBorder="1"/>
    <xf numFmtId="0" fontId="1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2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4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43" fontId="6" fillId="0" borderId="12" xfId="1" applyNumberFormat="1" applyFont="1" applyBorder="1" applyAlignment="1">
      <alignment horizontal="center"/>
    </xf>
    <xf numFmtId="167" fontId="6" fillId="3" borderId="1" xfId="1" applyNumberFormat="1" applyFont="1" applyFill="1" applyBorder="1" applyAlignment="1">
      <alignment horizontal="center"/>
    </xf>
    <xf numFmtId="164" fontId="6" fillId="0" borderId="0" xfId="2" applyNumberFormat="1" applyFont="1" applyFill="1" applyAlignment="1">
      <alignment horizontal="center"/>
    </xf>
    <xf numFmtId="0" fontId="4" fillId="0" borderId="0" xfId="2" applyFont="1" applyFill="1"/>
    <xf numFmtId="0" fontId="7" fillId="5" borderId="0" xfId="2" applyFont="1" applyFill="1"/>
    <xf numFmtId="0" fontId="3" fillId="5" borderId="0" xfId="2" applyFill="1"/>
    <xf numFmtId="43" fontId="0" fillId="0" borderId="0" xfId="0" applyNumberFormat="1"/>
    <xf numFmtId="0" fontId="0" fillId="6" borderId="8" xfId="0" applyFill="1" applyBorder="1"/>
    <xf numFmtId="0" fontId="0" fillId="6" borderId="4" xfId="0" applyFill="1" applyBorder="1"/>
    <xf numFmtId="43" fontId="6" fillId="3" borderId="1" xfId="1" applyNumberFormat="1" applyFont="1" applyFill="1" applyBorder="1" applyAlignment="1">
      <alignment horizontal="center"/>
    </xf>
    <xf numFmtId="167" fontId="6" fillId="7" borderId="1" xfId="1" applyNumberFormat="1" applyFont="1" applyFill="1" applyBorder="1" applyAlignment="1">
      <alignment horizontal="center"/>
    </xf>
    <xf numFmtId="164" fontId="8" fillId="8" borderId="3" xfId="2" applyNumberFormat="1" applyFont="1" applyFill="1" applyBorder="1" applyAlignment="1">
      <alignment horizontal="center"/>
    </xf>
    <xf numFmtId="1" fontId="8" fillId="8" borderId="3" xfId="2" applyNumberFormat="1" applyFont="1" applyFill="1" applyBorder="1" applyAlignment="1">
      <alignment horizontal="center"/>
    </xf>
    <xf numFmtId="39" fontId="8" fillId="10" borderId="1" xfId="2" applyNumberFormat="1" applyFont="1" applyFill="1" applyBorder="1" applyAlignment="1">
      <alignment horizontal="center"/>
    </xf>
    <xf numFmtId="0" fontId="6" fillId="9" borderId="1" xfId="2" applyFont="1" applyFill="1" applyBorder="1" applyAlignment="1">
      <alignment horizontal="center"/>
    </xf>
    <xf numFmtId="164" fontId="8" fillId="10" borderId="1" xfId="2" applyNumberFormat="1" applyFont="1" applyFill="1" applyBorder="1" applyAlignment="1">
      <alignment horizontal="center"/>
    </xf>
    <xf numFmtId="1" fontId="5" fillId="0" borderId="0" xfId="2" applyNumberFormat="1" applyFont="1" applyBorder="1" applyAlignment="1">
      <alignment horizontal="center"/>
    </xf>
    <xf numFmtId="164" fontId="6" fillId="4" borderId="1" xfId="2" applyNumberFormat="1" applyFont="1" applyFill="1" applyBorder="1" applyAlignment="1">
      <alignment horizontal="center"/>
    </xf>
    <xf numFmtId="164" fontId="5" fillId="4" borderId="1" xfId="2" applyNumberFormat="1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0" fontId="5" fillId="0" borderId="0" xfId="2" applyFont="1" applyBorder="1" applyAlignment="1">
      <alignment horizontal="left"/>
    </xf>
    <xf numFmtId="166" fontId="5" fillId="0" borderId="0" xfId="2" applyNumberFormat="1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17" fillId="0" borderId="0" xfId="2" applyFont="1"/>
    <xf numFmtId="167" fontId="6" fillId="4" borderId="1" xfId="1" applyNumberFormat="1" applyFont="1" applyFill="1" applyBorder="1" applyAlignment="1">
      <alignment horizontal="center"/>
    </xf>
    <xf numFmtId="43" fontId="5" fillId="4" borderId="1" xfId="1" applyNumberFormat="1" applyFont="1" applyFill="1" applyBorder="1" applyAlignment="1">
      <alignment horizontal="center"/>
    </xf>
    <xf numFmtId="0" fontId="6" fillId="0" borderId="1" xfId="2" quotePrefix="1" applyFont="1" applyBorder="1" applyAlignment="1">
      <alignment horizontal="center"/>
    </xf>
    <xf numFmtId="43" fontId="19" fillId="4" borderId="1" xfId="1" applyFont="1" applyFill="1" applyBorder="1" applyAlignment="1">
      <alignment horizontal="center"/>
    </xf>
    <xf numFmtId="2" fontId="19" fillId="4" borderId="1" xfId="2" applyNumberFormat="1" applyFont="1" applyFill="1" applyBorder="1" applyAlignment="1">
      <alignment horizontal="center"/>
    </xf>
    <xf numFmtId="164" fontId="19" fillId="4" borderId="1" xfId="2" applyNumberFormat="1" applyFont="1" applyFill="1" applyBorder="1" applyAlignment="1">
      <alignment horizontal="center"/>
    </xf>
    <xf numFmtId="0" fontId="18" fillId="0" borderId="1" xfId="2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3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11" borderId="0" xfId="0" applyFill="1"/>
    <xf numFmtId="39" fontId="0" fillId="0" borderId="11" xfId="0" applyNumberFormat="1" applyBorder="1"/>
    <xf numFmtId="39" fontId="0" fillId="0" borderId="8" xfId="0" applyNumberFormat="1" applyBorder="1"/>
    <xf numFmtId="39" fontId="0" fillId="0" borderId="4" xfId="0" applyNumberFormat="1" applyBorder="1"/>
    <xf numFmtId="0" fontId="0" fillId="6" borderId="10" xfId="0" applyFill="1" applyBorder="1"/>
    <xf numFmtId="39" fontId="0" fillId="0" borderId="0" xfId="0" applyNumberFormat="1" applyBorder="1"/>
    <xf numFmtId="164" fontId="0" fillId="0" borderId="6" xfId="0" applyNumberFormat="1" applyBorder="1"/>
    <xf numFmtId="39" fontId="0" fillId="0" borderId="6" xfId="0" applyNumberFormat="1" applyBorder="1"/>
    <xf numFmtId="0" fontId="0" fillId="6" borderId="9" xfId="0" applyFill="1" applyBorder="1"/>
    <xf numFmtId="164" fontId="0" fillId="0" borderId="7" xfId="0" applyNumberFormat="1" applyBorder="1"/>
    <xf numFmtId="164" fontId="0" fillId="0" borderId="5" xfId="0" applyNumberFormat="1" applyBorder="1"/>
    <xf numFmtId="39" fontId="0" fillId="0" borderId="5" xfId="0" applyNumberFormat="1" applyBorder="1"/>
    <xf numFmtId="0" fontId="0" fillId="6" borderId="6" xfId="0" applyFill="1" applyBorder="1"/>
  </cellXfs>
  <cellStyles count="4">
    <cellStyle name="Comma" xfId="1" builtinId="3"/>
    <cellStyle name="Currency 2" xfId="3" xr:uid="{1D7C4C01-E850-4C0F-A32E-D9628D4A9F3B}"/>
    <cellStyle name="Normal" xfId="0" builtinId="0"/>
    <cellStyle name="Normal 2" xfId="2" xr:uid="{507D2793-F5FD-49AE-8043-4B502A704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'OneWaySensitivity-Digital'!$O$1</c:f>
          <c:strCache>
            <c:ptCount val="1"/>
            <c:pt idx="0">
              <c:v>Sensitivity of $B$22 to Impact of numbers of pepsi ad on youtube on Total Cost 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671423884514442E-2"/>
          <c:y val="0.25956675415573055"/>
          <c:w val="0.89066190944881884"/>
          <c:h val="0.65040349956255472"/>
        </c:manualLayout>
      </c:layout>
      <c:lineChart>
        <c:grouping val="standard"/>
        <c:varyColors val="0"/>
        <c:ser>
          <c:idx val="0"/>
          <c:order val="0"/>
          <c:cat>
            <c:numRef>
              <c:f>'OneWaySensitivity-Digital'!$A$5:$A$15</c:f>
              <c:numCache>
                <c:formatCode>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'OneWaySensitivity-Digital'!$O$5:$O$15</c:f>
              <c:numCache>
                <c:formatCode>General</c:formatCode>
                <c:ptCount val="11"/>
                <c:pt idx="0">
                  <c:v>123.88</c:v>
                </c:pt>
                <c:pt idx="1">
                  <c:v>119.92</c:v>
                </c:pt>
                <c:pt idx="2">
                  <c:v>130.32</c:v>
                </c:pt>
                <c:pt idx="3">
                  <c:v>132.09</c:v>
                </c:pt>
                <c:pt idx="4">
                  <c:v>148.94999999999999</c:v>
                </c:pt>
                <c:pt idx="5">
                  <c:v>144.26</c:v>
                </c:pt>
                <c:pt idx="6">
                  <c:v>153.94</c:v>
                </c:pt>
                <c:pt idx="7">
                  <c:v>155.71</c:v>
                </c:pt>
                <c:pt idx="8">
                  <c:v>165.39</c:v>
                </c:pt>
                <c:pt idx="9">
                  <c:v>167.16</c:v>
                </c:pt>
                <c:pt idx="10">
                  <c:v>168.93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8-4C03-8C44-EB65180AE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378975"/>
        <c:axId val="478877951"/>
      </c:lineChart>
      <c:catAx>
        <c:axId val="478378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 of numbers of pepsi ad on youtube on Total Cost  ($D$32)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78877951"/>
        <c:crosses val="autoZero"/>
        <c:auto val="1"/>
        <c:lblAlgn val="ctr"/>
        <c:lblOffset val="100"/>
        <c:noMultiLvlLbl val="0"/>
      </c:catAx>
      <c:valAx>
        <c:axId val="47887795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37897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'OneWaySensitivity-Advertising'!$T$1</c:f>
          <c:strCache>
            <c:ptCount val="1"/>
            <c:pt idx="0">
              <c:v>Sensitivity of $B$22 to Impact of Changing Budget on number of exposures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'OneWaySensitivity-Advertising'!$A$5:$A$20</c:f>
              <c:numCache>
                <c:formatCode>_(* #,##0.00_);_(* \(#,##0.00\);_(* "-"??_);_(@_)</c:formatCode>
                <c:ptCount val="16"/>
                <c:pt idx="0">
                  <c:v>2500000000</c:v>
                </c:pt>
                <c:pt idx="1">
                  <c:v>2600000000</c:v>
                </c:pt>
                <c:pt idx="2">
                  <c:v>2700000000</c:v>
                </c:pt>
                <c:pt idx="3">
                  <c:v>2800000000</c:v>
                </c:pt>
                <c:pt idx="4">
                  <c:v>2900000000</c:v>
                </c:pt>
                <c:pt idx="5">
                  <c:v>3000000000</c:v>
                </c:pt>
                <c:pt idx="6">
                  <c:v>3100000000</c:v>
                </c:pt>
                <c:pt idx="7">
                  <c:v>3200000000</c:v>
                </c:pt>
                <c:pt idx="8">
                  <c:v>3300000000</c:v>
                </c:pt>
                <c:pt idx="9">
                  <c:v>3400000000</c:v>
                </c:pt>
                <c:pt idx="10">
                  <c:v>3500000000</c:v>
                </c:pt>
                <c:pt idx="11">
                  <c:v>3600000000</c:v>
                </c:pt>
                <c:pt idx="12">
                  <c:v>3700000000</c:v>
                </c:pt>
                <c:pt idx="13">
                  <c:v>3800000000</c:v>
                </c:pt>
                <c:pt idx="14">
                  <c:v>3900000000</c:v>
                </c:pt>
                <c:pt idx="15">
                  <c:v>4000000000</c:v>
                </c:pt>
              </c:numCache>
            </c:numRef>
          </c:cat>
          <c:val>
            <c:numRef>
              <c:f>'OneWaySensitivity-Advertising'!$T$5:$T$20</c:f>
              <c:numCache>
                <c:formatCode>General</c:formatCode>
                <c:ptCount val="16"/>
                <c:pt idx="0">
                  <c:v>574311000000</c:v>
                </c:pt>
                <c:pt idx="1">
                  <c:v>597291620000</c:v>
                </c:pt>
                <c:pt idx="2">
                  <c:v>620013850000</c:v>
                </c:pt>
                <c:pt idx="3">
                  <c:v>643347050000</c:v>
                </c:pt>
                <c:pt idx="4">
                  <c:v>666294210000</c:v>
                </c:pt>
                <c:pt idx="5">
                  <c:v>689219030000</c:v>
                </c:pt>
                <c:pt idx="6">
                  <c:v>712019450000</c:v>
                </c:pt>
                <c:pt idx="7">
                  <c:v>735241000000</c:v>
                </c:pt>
                <c:pt idx="8">
                  <c:v>758074930000</c:v>
                </c:pt>
                <c:pt idx="9">
                  <c:v>781066770000</c:v>
                </c:pt>
                <c:pt idx="10">
                  <c:v>804243590000</c:v>
                </c:pt>
                <c:pt idx="11">
                  <c:v>826999330000</c:v>
                </c:pt>
                <c:pt idx="12">
                  <c:v>850080530000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8-4543-9F14-49F17111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79999"/>
        <c:axId val="350165167"/>
      </c:lineChart>
      <c:catAx>
        <c:axId val="616579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 of Changing Budget on number of exposures ($D$32)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350165167"/>
        <c:crosses val="autoZero"/>
        <c:auto val="1"/>
        <c:lblAlgn val="ctr"/>
        <c:lblOffset val="100"/>
        <c:noMultiLvlLbl val="0"/>
      </c:catAx>
      <c:valAx>
        <c:axId val="3501651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57999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'TwoWaySensitivity-Advertising'!$K$1</c:f>
          <c:strCache>
            <c:ptCount val="1"/>
            <c:pt idx="0">
              <c:v>Sensitivity of $B$22 to Impact of Changing Exposures on Age category 26-35 on Number of ads purchased and Total exposures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'TwoWaySensitivity-Advertising'!$B$4:$H$4</c:f>
              <c:numCache>
                <c:formatCode>_(* #,##0_);_(* \(#,##0\);_(* "-"??_);_(@_)</c:formatCode>
                <c:ptCount val="7"/>
                <c:pt idx="0">
                  <c:v>400000000</c:v>
                </c:pt>
                <c:pt idx="1">
                  <c:v>500000000</c:v>
                </c:pt>
                <c:pt idx="2">
                  <c:v>600000000</c:v>
                </c:pt>
                <c:pt idx="3">
                  <c:v>700000000</c:v>
                </c:pt>
                <c:pt idx="4">
                  <c:v>800000000</c:v>
                </c:pt>
                <c:pt idx="5">
                  <c:v>900000000</c:v>
                </c:pt>
                <c:pt idx="6">
                  <c:v>1000000000</c:v>
                </c:pt>
              </c:numCache>
            </c:numRef>
          </c:cat>
          <c:val>
            <c:numRef>
              <c:f>'TwoWaySensitivity-Advertising'!$K$5:$K$11</c:f>
              <c:numCache>
                <c:formatCode>General</c:formatCode>
                <c:ptCount val="7"/>
                <c:pt idx="0">
                  <c:v>666294210000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E-4944-8ED8-C1E68A038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509199"/>
        <c:axId val="1483737487"/>
      </c:lineChart>
      <c:catAx>
        <c:axId val="1381509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 of Changing Exposures on Age category 26-35 on Number of ads purchased and Total exposures ($D$28)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483737487"/>
        <c:crosses val="autoZero"/>
        <c:auto val="1"/>
        <c:lblAlgn val="ctr"/>
        <c:lblOffset val="100"/>
        <c:noMultiLvlLbl val="0"/>
      </c:catAx>
      <c:valAx>
        <c:axId val="14837374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150919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'TwoWaySensitivity-Advertising'!$O$1</c:f>
          <c:strCache>
            <c:ptCount val="1"/>
            <c:pt idx="0">
              <c:v>Sensitivity of $B$22 to Impact of Changing Minimum Required Exposures in age category 16-25 on Number of Ads purchased and total exposures</c:v>
            </c:pt>
          </c:strCache>
        </c:strRef>
      </c:tx>
      <c:layout>
        <c:manualLayout>
          <c:xMode val="edge"/>
          <c:yMode val="edge"/>
          <c:x val="9.6397266379438407E-2"/>
          <c:y val="2.6666666666666668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'TwoWaySensitivity-Advertising'!$A$5:$A$11</c:f>
              <c:numCache>
                <c:formatCode>_(* #,##0_);_(* \(#,##0\);_(* "-"??_);_(@_)</c:formatCode>
                <c:ptCount val="7"/>
                <c:pt idx="0">
                  <c:v>400000000</c:v>
                </c:pt>
                <c:pt idx="1">
                  <c:v>500000000</c:v>
                </c:pt>
                <c:pt idx="2">
                  <c:v>600000000</c:v>
                </c:pt>
                <c:pt idx="3">
                  <c:v>700000000</c:v>
                </c:pt>
                <c:pt idx="4">
                  <c:v>800000000</c:v>
                </c:pt>
                <c:pt idx="5">
                  <c:v>900000000</c:v>
                </c:pt>
                <c:pt idx="6">
                  <c:v>1000000000</c:v>
                </c:pt>
              </c:numCache>
            </c:numRef>
          </c:cat>
          <c:val>
            <c:numRef>
              <c:f>'TwoWaySensitivity-Advertising'!$O$5:$O$11</c:f>
              <c:numCache>
                <c:formatCode>General</c:formatCode>
                <c:ptCount val="7"/>
                <c:pt idx="0">
                  <c:v>666294210000</c:v>
                </c:pt>
                <c:pt idx="1">
                  <c:v>666294210000</c:v>
                </c:pt>
                <c:pt idx="2">
                  <c:v>666294210000</c:v>
                </c:pt>
                <c:pt idx="3">
                  <c:v>666294210000</c:v>
                </c:pt>
                <c:pt idx="4">
                  <c:v>666294210000</c:v>
                </c:pt>
                <c:pt idx="5">
                  <c:v>666294210000</c:v>
                </c:pt>
                <c:pt idx="6">
                  <c:v>666294210000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0-4393-AA19-607ABB662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937071"/>
        <c:axId val="1483737903"/>
      </c:lineChart>
      <c:catAx>
        <c:axId val="1490937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 of Changing Minimum Required Exposures in age category 16-25 on Number of Ads purchased and total exposures ($D$27)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483737903"/>
        <c:crosses val="autoZero"/>
        <c:auto val="1"/>
        <c:lblAlgn val="ctr"/>
        <c:lblOffset val="100"/>
        <c:noMultiLvlLbl val="0"/>
      </c:catAx>
      <c:valAx>
        <c:axId val="148373790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093707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109373</xdr:colOff>
      <xdr:row>0</xdr:row>
      <xdr:rowOff>33173</xdr:rowOff>
    </xdr:from>
    <xdr:to>
      <xdr:col>6</xdr:col>
      <xdr:colOff>61748</xdr:colOff>
      <xdr:row>3</xdr:row>
      <xdr:rowOff>101600</xdr:rowOff>
    </xdr:to>
    <xdr:sp macro="" textlink="">
      <xdr:nvSpPr>
        <xdr:cNvPr id="2" name="Text Box 35">
          <a:extLst>
            <a:ext uri="{FF2B5EF4-FFF2-40B4-BE49-F238E27FC236}">
              <a16:creationId xmlns:a16="http://schemas.microsoft.com/office/drawing/2014/main" id="{82A6BAC4-EBAE-4B74-BD46-DAFA5B7709DE}"/>
            </a:ext>
          </a:extLst>
        </xdr:cNvPr>
        <xdr:cNvSpPr txBox="1">
          <a:spLocks noChangeArrowheads="1"/>
        </xdr:cNvSpPr>
      </xdr:nvSpPr>
      <xdr:spPr bwMode="auto">
        <a:xfrm>
          <a:off x="1938173" y="33173"/>
          <a:ext cx="1781175" cy="554202"/>
        </a:xfrm>
        <a:prstGeom prst="roundRect">
          <a:avLst/>
        </a:prstGeom>
        <a:solidFill>
          <a:schemeClr val="bg1">
            <a:shade val="80000"/>
          </a:schemeClr>
        </a:solidFill>
        <a:ln w="9525">
          <a:noFill/>
          <a:miter lim="800000"/>
          <a:headEnd/>
          <a:tailEnd/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+mn-lt"/>
              <a:cs typeface="Arial"/>
            </a:rPr>
            <a:t>Note:</a:t>
          </a: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All monetary values are in $1000s, and all exposures to ads are in millions of exposures.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109373</xdr:colOff>
      <xdr:row>0</xdr:row>
      <xdr:rowOff>33173</xdr:rowOff>
    </xdr:from>
    <xdr:to>
      <xdr:col>6</xdr:col>
      <xdr:colOff>61748</xdr:colOff>
      <xdr:row>3</xdr:row>
      <xdr:rowOff>148897</xdr:rowOff>
    </xdr:to>
    <xdr:sp macro="" textlink="">
      <xdr:nvSpPr>
        <xdr:cNvPr id="2" name="Text Box 35">
          <a:extLst>
            <a:ext uri="{FF2B5EF4-FFF2-40B4-BE49-F238E27FC236}">
              <a16:creationId xmlns:a16="http://schemas.microsoft.com/office/drawing/2014/main" id="{3FDC9F3A-B21C-488B-A254-9C134ADC7EF1}"/>
            </a:ext>
          </a:extLst>
        </xdr:cNvPr>
        <xdr:cNvSpPr txBox="1">
          <a:spLocks noChangeArrowheads="1"/>
        </xdr:cNvSpPr>
      </xdr:nvSpPr>
      <xdr:spPr bwMode="auto">
        <a:xfrm>
          <a:off x="1938173" y="33173"/>
          <a:ext cx="1781175" cy="601499"/>
        </a:xfrm>
        <a:prstGeom prst="roundRect">
          <a:avLst/>
        </a:prstGeom>
        <a:solidFill>
          <a:schemeClr val="bg1">
            <a:shade val="80000"/>
          </a:schemeClr>
        </a:solidFill>
        <a:ln w="9525">
          <a:noFill/>
          <a:miter lim="800000"/>
          <a:headEnd/>
          <a:tailEnd/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+mn-lt"/>
              <a:cs typeface="Arial"/>
            </a:rPr>
            <a:t>Note:</a:t>
          </a: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All monetary values are in $1000s, and all exposures to ads are in millions of exposures.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38100</xdr:colOff>
      <xdr:row>4</xdr:row>
      <xdr:rowOff>174624</xdr:rowOff>
    </xdr:from>
    <xdr:to>
      <xdr:col>13</xdr:col>
      <xdr:colOff>622300</xdr:colOff>
      <xdr:row>25</xdr:row>
      <xdr:rowOff>50800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D50E8488-CAB2-4678-B0DA-BDE7F3F74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571500</xdr:colOff>
      <xdr:row>1</xdr:row>
      <xdr:rowOff>0</xdr:rowOff>
    </xdr:from>
    <xdr:to>
      <xdr:col>13</xdr:col>
      <xdr:colOff>571500</xdr:colOff>
      <xdr:row>3</xdr:row>
      <xdr:rowOff>441325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D2DD5B-D519-455B-B5C3-66E81B3B35A8}"/>
            </a:ext>
          </a:extLst>
        </xdr:cNvPr>
        <xdr:cNvSpPr txBox="1"/>
      </xdr:nvSpPr>
      <xdr:spPr>
        <a:xfrm>
          <a:off x="6629400" y="190500"/>
          <a:ext cx="2692400" cy="822325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466724</xdr:colOff>
      <xdr:row>3</xdr:row>
      <xdr:rowOff>279400</xdr:rowOff>
    </xdr:from>
    <xdr:to>
      <xdr:col>18</xdr:col>
      <xdr:colOff>203199</xdr:colOff>
      <xdr:row>23</xdr:row>
      <xdr:rowOff>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B9BF36AA-BCD1-4869-AC25-D17D6E55E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581025</xdr:colOff>
      <xdr:row>3</xdr:row>
      <xdr:rowOff>0</xdr:rowOff>
    </xdr:from>
    <xdr:to>
      <xdr:col>15</xdr:col>
      <xdr:colOff>15875</xdr:colOff>
      <xdr:row>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823CE6-18D0-4852-A0BE-61F4CA4D70AE}"/>
            </a:ext>
          </a:extLst>
        </xdr:cNvPr>
        <xdr:cNvSpPr txBox="1"/>
      </xdr:nvSpPr>
      <xdr:spPr>
        <a:xfrm>
          <a:off x="782955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536222</xdr:colOff>
      <xdr:row>11</xdr:row>
      <xdr:rowOff>152400</xdr:rowOff>
    </xdr:from>
    <xdr:to>
      <xdr:col>15</xdr:col>
      <xdr:colOff>451555</xdr:colOff>
      <xdr:row>30</xdr:row>
      <xdr:rowOff>169333</xdr:rowOff>
    </xdr:to>
    <xdr:graphicFrame macro="">
      <xdr:nvGraphicFramePr>
        <xdr:cNvPr id="2" name="STS_3_Chart1">
          <a:extLst>
            <a:ext uri="{FF2B5EF4-FFF2-40B4-BE49-F238E27FC236}">
              <a16:creationId xmlns:a16="http://schemas.microsoft.com/office/drawing/2014/main" id="{267E45DF-5C9E-43DC-A944-45DA8F377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15</xdr:col>
      <xdr:colOff>444500</xdr:colOff>
      <xdr:row>8</xdr:row>
      <xdr:rowOff>127000</xdr:rowOff>
    </xdr:from>
    <xdr:to>
      <xdr:col>23</xdr:col>
      <xdr:colOff>444500</xdr:colOff>
      <xdr:row>23</xdr:row>
      <xdr:rowOff>127000</xdr:rowOff>
    </xdr:to>
    <xdr:graphicFrame macro="">
      <xdr:nvGraphicFramePr>
        <xdr:cNvPr id="3" name="STS_3_Chart2">
          <a:extLst>
            <a:ext uri="{FF2B5EF4-FFF2-40B4-BE49-F238E27FC236}">
              <a16:creationId xmlns:a16="http://schemas.microsoft.com/office/drawing/2014/main" id="{18C259AA-5D52-4247-8C6A-6FB129D27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16</xdr:col>
      <xdr:colOff>444500</xdr:colOff>
      <xdr:row>3</xdr:row>
      <xdr:rowOff>120650</xdr:rowOff>
    </xdr:from>
    <xdr:to>
      <xdr:col>23</xdr:col>
      <xdr:colOff>644525</xdr:colOff>
      <xdr:row>5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118D3C-5D82-4A50-AA18-3FC44A049E72}"/>
            </a:ext>
          </a:extLst>
        </xdr:cNvPr>
        <xdr:cNvSpPr txBox="1"/>
      </xdr:nvSpPr>
      <xdr:spPr>
        <a:xfrm>
          <a:off x="16700500" y="692150"/>
          <a:ext cx="4911725" cy="56515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$K$4, $L$4, $O$4, and $P$4, you can chart any row (in left chart) or column (in right chart) of any table to the left.</a:t>
          </a:r>
        </a:p>
      </xdr:txBody>
    </xdr:sp>
    <xdr:clientData/>
  </xdr:twoCellAnchor>
  <xdr:twoCellAnchor>
    <xdr:from>
      <xdr:col>9</xdr:col>
      <xdr:colOff>114300</xdr:colOff>
      <xdr:row>3</xdr:row>
      <xdr:rowOff>364067</xdr:rowOff>
    </xdr:from>
    <xdr:to>
      <xdr:col>9</xdr:col>
      <xdr:colOff>660400</xdr:colOff>
      <xdr:row>11</xdr:row>
      <xdr:rowOff>122767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80B8D8D-AEED-A54E-A2BC-47C803F8CD63}"/>
            </a:ext>
          </a:extLst>
        </xdr:cNvPr>
        <xdr:cNvCxnSpPr/>
      </xdr:nvCxnSpPr>
      <xdr:spPr>
        <a:xfrm flipH="1">
          <a:off x="11657189" y="956734"/>
          <a:ext cx="546100" cy="160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3</xdr:row>
      <xdr:rowOff>228600</xdr:rowOff>
    </xdr:from>
    <xdr:to>
      <xdr:col>17</xdr:col>
      <xdr:colOff>177800</xdr:colOff>
      <xdr:row>8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5467404-F1BB-4541-8F53-79E9348DC788}"/>
            </a:ext>
          </a:extLst>
        </xdr:cNvPr>
        <xdr:cNvCxnSpPr/>
      </xdr:nvCxnSpPr>
      <xdr:spPr>
        <a:xfrm>
          <a:off x="16281400" y="800100"/>
          <a:ext cx="8255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94FC-7309-48DB-A885-2821798E21E1}">
  <dimension ref="A1:D49"/>
  <sheetViews>
    <sheetView tabSelected="1" topLeftCell="A18" workbookViewId="0">
      <selection activeCell="D45" sqref="D45"/>
    </sheetView>
  </sheetViews>
  <sheetFormatPr baseColWidth="10" defaultColWidth="8.83203125" defaultRowHeight="15"/>
  <cols>
    <col min="1" max="1" width="56" customWidth="1"/>
    <col min="2" max="2" width="13.5" customWidth="1"/>
    <col min="4" max="4" width="21.5" customWidth="1"/>
  </cols>
  <sheetData>
    <row r="1" spans="1:2">
      <c r="A1" t="s">
        <v>58</v>
      </c>
    </row>
    <row r="3" spans="1:2">
      <c r="A3" s="75" t="s">
        <v>59</v>
      </c>
    </row>
    <row r="4" spans="1:2">
      <c r="A4" s="8" t="s">
        <v>102</v>
      </c>
      <c r="B4" s="79" t="s">
        <v>95</v>
      </c>
    </row>
    <row r="5" spans="1:2">
      <c r="A5" s="8" t="s">
        <v>103</v>
      </c>
      <c r="B5" s="79" t="s">
        <v>90</v>
      </c>
    </row>
    <row r="6" spans="1:2">
      <c r="A6" s="8" t="s">
        <v>104</v>
      </c>
      <c r="B6" s="79" t="s">
        <v>91</v>
      </c>
    </row>
    <row r="7" spans="1:2">
      <c r="A7" s="8" t="s">
        <v>105</v>
      </c>
      <c r="B7" s="79" t="s">
        <v>92</v>
      </c>
    </row>
    <row r="8" spans="1:2">
      <c r="A8" s="8" t="s">
        <v>106</v>
      </c>
      <c r="B8" s="79" t="s">
        <v>93</v>
      </c>
    </row>
    <row r="9" spans="1:2">
      <c r="A9" s="8" t="s">
        <v>107</v>
      </c>
      <c r="B9" s="79" t="s">
        <v>94</v>
      </c>
    </row>
    <row r="10" spans="1:2">
      <c r="A10" s="82"/>
      <c r="B10" s="58"/>
    </row>
    <row r="11" spans="1:2">
      <c r="A11" s="81" t="s">
        <v>60</v>
      </c>
      <c r="B11" s="79" t="s">
        <v>71</v>
      </c>
    </row>
    <row r="12" spans="1:2">
      <c r="A12" s="81" t="s">
        <v>61</v>
      </c>
      <c r="B12" s="79" t="s">
        <v>62</v>
      </c>
    </row>
    <row r="13" spans="1:2">
      <c r="A13" s="81" t="s">
        <v>63</v>
      </c>
      <c r="B13" s="79" t="s">
        <v>64</v>
      </c>
    </row>
    <row r="14" spans="1:2">
      <c r="A14" s="81" t="s">
        <v>65</v>
      </c>
      <c r="B14" s="79" t="s">
        <v>66</v>
      </c>
    </row>
    <row r="15" spans="1:2">
      <c r="A15" s="81" t="s">
        <v>67</v>
      </c>
      <c r="B15" s="79" t="s">
        <v>69</v>
      </c>
    </row>
    <row r="16" spans="1:2">
      <c r="A16" s="81" t="s">
        <v>68</v>
      </c>
      <c r="B16" s="79" t="s">
        <v>70</v>
      </c>
    </row>
    <row r="17" spans="1:2" ht="17">
      <c r="A17" s="81"/>
      <c r="B17" s="79" t="s">
        <v>89</v>
      </c>
    </row>
    <row r="19" spans="1:2">
      <c r="A19" s="81" t="s">
        <v>72</v>
      </c>
      <c r="B19" s="79" t="s">
        <v>78</v>
      </c>
    </row>
    <row r="20" spans="1:2">
      <c r="A20" s="81" t="s">
        <v>73</v>
      </c>
      <c r="B20" s="79" t="s">
        <v>79</v>
      </c>
    </row>
    <row r="21" spans="1:2">
      <c r="A21" s="81" t="s">
        <v>74</v>
      </c>
      <c r="B21" s="79" t="s">
        <v>80</v>
      </c>
    </row>
    <row r="22" spans="1:2">
      <c r="A22" s="81" t="s">
        <v>75</v>
      </c>
      <c r="B22" s="79" t="s">
        <v>81</v>
      </c>
    </row>
    <row r="23" spans="1:2">
      <c r="A23" s="81" t="s">
        <v>76</v>
      </c>
      <c r="B23" s="79" t="s">
        <v>82</v>
      </c>
    </row>
    <row r="24" spans="1:2">
      <c r="A24" s="81" t="s">
        <v>77</v>
      </c>
      <c r="B24" s="79" t="s">
        <v>83</v>
      </c>
    </row>
    <row r="25" spans="1:2">
      <c r="A25" s="81"/>
      <c r="B25" s="79" t="s">
        <v>115</v>
      </c>
    </row>
    <row r="26" spans="1:2">
      <c r="A26" s="77"/>
      <c r="B26" s="76"/>
    </row>
    <row r="27" spans="1:2">
      <c r="A27" s="81" t="s">
        <v>123</v>
      </c>
      <c r="B27" s="79" t="s">
        <v>116</v>
      </c>
    </row>
    <row r="28" spans="1:2">
      <c r="A28" s="81" t="s">
        <v>124</v>
      </c>
      <c r="B28" s="79" t="s">
        <v>117</v>
      </c>
    </row>
    <row r="29" spans="1:2">
      <c r="A29" s="81" t="s">
        <v>125</v>
      </c>
      <c r="B29" s="79" t="s">
        <v>118</v>
      </c>
    </row>
    <row r="30" spans="1:2">
      <c r="A30" s="81" t="s">
        <v>126</v>
      </c>
      <c r="B30" s="79" t="s">
        <v>119</v>
      </c>
    </row>
    <row r="31" spans="1:2">
      <c r="A31" s="81" t="s">
        <v>127</v>
      </c>
      <c r="B31" s="79" t="s">
        <v>120</v>
      </c>
    </row>
    <row r="32" spans="1:2">
      <c r="A32" s="81" t="s">
        <v>128</v>
      </c>
      <c r="B32" s="79" t="s">
        <v>121</v>
      </c>
    </row>
    <row r="33" spans="1:4" ht="17">
      <c r="A33" s="81"/>
      <c r="B33" s="79" t="s">
        <v>122</v>
      </c>
    </row>
    <row r="34" spans="1:4">
      <c r="A34" s="83"/>
      <c r="B34" s="84"/>
    </row>
    <row r="35" spans="1:4">
      <c r="A35" s="75" t="s">
        <v>84</v>
      </c>
    </row>
    <row r="36" spans="1:4">
      <c r="A36" s="55" t="s">
        <v>85</v>
      </c>
    </row>
    <row r="37" spans="1:4">
      <c r="A37" s="55" t="s">
        <v>86</v>
      </c>
    </row>
    <row r="39" spans="1:4">
      <c r="A39" s="75" t="s">
        <v>87</v>
      </c>
      <c r="B39" s="85" t="s">
        <v>12</v>
      </c>
      <c r="D39" s="85" t="s">
        <v>11</v>
      </c>
    </row>
    <row r="40" spans="1:4" ht="17">
      <c r="A40" s="8" t="s">
        <v>96</v>
      </c>
      <c r="B40" s="79" t="s">
        <v>108</v>
      </c>
      <c r="C40" s="79" t="s">
        <v>114</v>
      </c>
      <c r="D40" s="45" t="s">
        <v>174</v>
      </c>
    </row>
    <row r="41" spans="1:4" ht="17">
      <c r="A41" s="8" t="s">
        <v>97</v>
      </c>
      <c r="B41" s="79" t="s">
        <v>109</v>
      </c>
      <c r="C41" s="79" t="s">
        <v>114</v>
      </c>
      <c r="D41" s="45" t="s">
        <v>175</v>
      </c>
    </row>
    <row r="42" spans="1:4" ht="17">
      <c r="A42" s="8" t="s">
        <v>98</v>
      </c>
      <c r="B42" s="79" t="s">
        <v>110</v>
      </c>
      <c r="C42" s="79" t="s">
        <v>114</v>
      </c>
      <c r="D42" s="45" t="s">
        <v>175</v>
      </c>
    </row>
    <row r="43" spans="1:4" ht="17">
      <c r="A43" s="8" t="s">
        <v>99</v>
      </c>
      <c r="B43" s="79" t="s">
        <v>111</v>
      </c>
      <c r="C43" s="79" t="s">
        <v>114</v>
      </c>
      <c r="D43" s="45" t="s">
        <v>176</v>
      </c>
    </row>
    <row r="44" spans="1:4" ht="17">
      <c r="A44" s="8" t="s">
        <v>100</v>
      </c>
      <c r="B44" s="79" t="s">
        <v>112</v>
      </c>
      <c r="C44" s="79" t="s">
        <v>114</v>
      </c>
      <c r="D44" s="45" t="s">
        <v>177</v>
      </c>
    </row>
    <row r="45" spans="1:4" ht="17">
      <c r="A45" s="8" t="s">
        <v>101</v>
      </c>
      <c r="B45" s="79" t="s">
        <v>113</v>
      </c>
      <c r="C45" s="79" t="s">
        <v>114</v>
      </c>
      <c r="D45" s="45" t="s">
        <v>178</v>
      </c>
    </row>
    <row r="46" spans="1:4" ht="17">
      <c r="A46" s="4" t="s">
        <v>88</v>
      </c>
      <c r="B46" s="79" t="s">
        <v>129</v>
      </c>
      <c r="C46" s="79" t="s">
        <v>130</v>
      </c>
      <c r="D46" s="45">
        <v>2900000000</v>
      </c>
    </row>
    <row r="47" spans="1:4">
      <c r="A47" s="2" t="s">
        <v>2</v>
      </c>
      <c r="B47" s="79" t="s">
        <v>132</v>
      </c>
      <c r="C47" s="79" t="s">
        <v>32</v>
      </c>
      <c r="D47" s="79" t="s">
        <v>131</v>
      </c>
    </row>
    <row r="48" spans="1:4">
      <c r="A48" s="2" t="s">
        <v>1</v>
      </c>
      <c r="B48" s="79" t="s">
        <v>133</v>
      </c>
      <c r="C48" s="79" t="s">
        <v>32</v>
      </c>
      <c r="D48" s="79" t="s">
        <v>134</v>
      </c>
    </row>
    <row r="49" spans="1:4">
      <c r="A49" s="80" t="s">
        <v>160</v>
      </c>
      <c r="B49" s="74"/>
      <c r="C49" s="74"/>
      <c r="D49" s="74"/>
    </row>
  </sheetData>
  <phoneticPr fontId="1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555E-3ABB-4F7A-8ABB-EF31BC275138}">
  <dimension ref="A1:D37"/>
  <sheetViews>
    <sheetView topLeftCell="A15" workbookViewId="0">
      <selection activeCell="B41" sqref="B41"/>
    </sheetView>
  </sheetViews>
  <sheetFormatPr baseColWidth="10" defaultColWidth="8.83203125" defaultRowHeight="15"/>
  <cols>
    <col min="1" max="1" width="58.33203125" customWidth="1"/>
  </cols>
  <sheetData>
    <row r="1" spans="1:3">
      <c r="A1" s="86" t="s">
        <v>135</v>
      </c>
    </row>
    <row r="3" spans="1:3">
      <c r="A3" s="75" t="s">
        <v>59</v>
      </c>
    </row>
    <row r="4" spans="1:3">
      <c r="A4" s="8" t="s">
        <v>102</v>
      </c>
      <c r="B4" s="79" t="s">
        <v>95</v>
      </c>
    </row>
    <row r="5" spans="1:3">
      <c r="A5" s="8" t="s">
        <v>103</v>
      </c>
      <c r="B5" s="79" t="s">
        <v>90</v>
      </c>
    </row>
    <row r="6" spans="1:3">
      <c r="A6" s="8" t="s">
        <v>104</v>
      </c>
      <c r="B6" s="79" t="s">
        <v>91</v>
      </c>
    </row>
    <row r="7" spans="1:3">
      <c r="A7" s="8" t="s">
        <v>105</v>
      </c>
      <c r="B7" s="79" t="s">
        <v>92</v>
      </c>
    </row>
    <row r="8" spans="1:3">
      <c r="A8" s="8" t="s">
        <v>106</v>
      </c>
      <c r="B8" s="79" t="s">
        <v>93</v>
      </c>
    </row>
    <row r="9" spans="1:3">
      <c r="A9" s="8" t="s">
        <v>149</v>
      </c>
      <c r="B9" s="79" t="s">
        <v>94</v>
      </c>
    </row>
    <row r="10" spans="1:3">
      <c r="A10" s="82"/>
      <c r="B10" s="68"/>
      <c r="C10" s="68"/>
    </row>
    <row r="11" spans="1:3">
      <c r="A11" s="81" t="s">
        <v>145</v>
      </c>
      <c r="B11" s="79" t="s">
        <v>116</v>
      </c>
    </row>
    <row r="12" spans="1:3">
      <c r="A12" s="81" t="s">
        <v>139</v>
      </c>
      <c r="B12" s="79" t="s">
        <v>117</v>
      </c>
    </row>
    <row r="13" spans="1:3">
      <c r="A13" s="81" t="s">
        <v>146</v>
      </c>
      <c r="B13" s="79" t="s">
        <v>118</v>
      </c>
    </row>
    <row r="14" spans="1:3">
      <c r="A14" s="81" t="s">
        <v>147</v>
      </c>
      <c r="B14" s="79" t="s">
        <v>119</v>
      </c>
    </row>
    <row r="15" spans="1:3">
      <c r="A15" s="81" t="s">
        <v>148</v>
      </c>
      <c r="B15" s="79" t="s">
        <v>120</v>
      </c>
    </row>
    <row r="16" spans="1:3" ht="17">
      <c r="A16" s="81"/>
      <c r="B16" s="79" t="s">
        <v>122</v>
      </c>
    </row>
    <row r="18" spans="1:4">
      <c r="A18" s="81" t="s">
        <v>140</v>
      </c>
      <c r="B18" s="79" t="s">
        <v>78</v>
      </c>
    </row>
    <row r="19" spans="1:4">
      <c r="A19" s="81" t="s">
        <v>141</v>
      </c>
      <c r="B19" s="79" t="s">
        <v>79</v>
      </c>
    </row>
    <row r="20" spans="1:4">
      <c r="A20" s="81" t="s">
        <v>142</v>
      </c>
      <c r="B20" s="79" t="s">
        <v>80</v>
      </c>
    </row>
    <row r="21" spans="1:4">
      <c r="A21" s="81" t="s">
        <v>143</v>
      </c>
      <c r="B21" s="79" t="s">
        <v>81</v>
      </c>
    </row>
    <row r="22" spans="1:4">
      <c r="A22" s="81" t="s">
        <v>144</v>
      </c>
      <c r="B22" s="79" t="s">
        <v>82</v>
      </c>
    </row>
    <row r="23" spans="1:4">
      <c r="A23" s="81"/>
      <c r="B23" s="79" t="s">
        <v>115</v>
      </c>
    </row>
    <row r="25" spans="1:4">
      <c r="A25" s="75" t="s">
        <v>84</v>
      </c>
    </row>
    <row r="26" spans="1:4">
      <c r="A26" s="55" t="s">
        <v>136</v>
      </c>
    </row>
    <row r="27" spans="1:4">
      <c r="A27" s="55" t="s">
        <v>137</v>
      </c>
    </row>
    <row r="29" spans="1:4">
      <c r="A29" s="75" t="s">
        <v>87</v>
      </c>
      <c r="B29" s="85" t="s">
        <v>12</v>
      </c>
      <c r="D29" s="87" t="s">
        <v>11</v>
      </c>
    </row>
    <row r="30" spans="1:4" ht="17">
      <c r="A30" s="8" t="s">
        <v>96</v>
      </c>
      <c r="B30" s="79" t="s">
        <v>108</v>
      </c>
      <c r="C30" s="120" t="s">
        <v>114</v>
      </c>
      <c r="D30" s="45">
        <v>30</v>
      </c>
    </row>
    <row r="31" spans="1:4" ht="17">
      <c r="A31" s="8" t="s">
        <v>97</v>
      </c>
      <c r="B31" s="79" t="s">
        <v>109</v>
      </c>
      <c r="C31" s="120" t="s">
        <v>114</v>
      </c>
      <c r="D31" s="45">
        <v>50</v>
      </c>
    </row>
    <row r="32" spans="1:4" ht="17">
      <c r="A32" s="8" t="s">
        <v>98</v>
      </c>
      <c r="B32" s="79" t="s">
        <v>110</v>
      </c>
      <c r="C32" s="120" t="s">
        <v>114</v>
      </c>
      <c r="D32" s="45">
        <v>50</v>
      </c>
    </row>
    <row r="33" spans="1:4" ht="17">
      <c r="A33" s="8" t="s">
        <v>99</v>
      </c>
      <c r="B33" s="79" t="s">
        <v>111</v>
      </c>
      <c r="C33" s="120" t="s">
        <v>114</v>
      </c>
      <c r="D33" s="45">
        <v>45</v>
      </c>
    </row>
    <row r="34" spans="1:4" ht="17">
      <c r="A34" s="8" t="s">
        <v>100</v>
      </c>
      <c r="B34" s="79" t="s">
        <v>112</v>
      </c>
      <c r="C34" s="120" t="s">
        <v>114</v>
      </c>
      <c r="D34" s="45">
        <v>20</v>
      </c>
    </row>
    <row r="35" spans="1:4" ht="17">
      <c r="A35" s="8" t="s">
        <v>101</v>
      </c>
      <c r="B35" s="79" t="s">
        <v>113</v>
      </c>
      <c r="C35" s="120" t="s">
        <v>114</v>
      </c>
      <c r="D35" s="45">
        <v>10</v>
      </c>
    </row>
    <row r="36" spans="1:4">
      <c r="A36" s="4" t="s">
        <v>138</v>
      </c>
      <c r="B36" s="79" t="s">
        <v>79</v>
      </c>
      <c r="C36" s="120" t="s">
        <v>114</v>
      </c>
      <c r="D36" s="45">
        <v>6</v>
      </c>
    </row>
    <row r="37" spans="1:4">
      <c r="A37" s="80" t="s">
        <v>173</v>
      </c>
      <c r="B37" s="74"/>
      <c r="C37" s="74"/>
      <c r="D37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399A-1831-4AF1-9AA6-524780047541}">
  <sheetPr>
    <pageSetUpPr fitToPage="1"/>
  </sheetPr>
  <dimension ref="A1:L34"/>
  <sheetViews>
    <sheetView topLeftCell="A15" zoomScale="90" zoomScaleNormal="90" workbookViewId="0">
      <selection activeCell="D27" sqref="D27"/>
    </sheetView>
  </sheetViews>
  <sheetFormatPr baseColWidth="10" defaultColWidth="9.1640625" defaultRowHeight="15"/>
  <cols>
    <col min="1" max="1" width="53.5" style="1" customWidth="1"/>
    <col min="2" max="2" width="21.6640625" style="1" customWidth="1"/>
    <col min="3" max="3" width="17.83203125" style="1" customWidth="1"/>
    <col min="4" max="4" width="17.6640625" style="1" customWidth="1"/>
    <col min="5" max="5" width="19.83203125" style="1" customWidth="1"/>
    <col min="6" max="6" width="16.6640625" style="1" customWidth="1"/>
    <col min="7" max="7" width="21.1640625" style="1" customWidth="1"/>
    <col min="8" max="8" width="18.5" style="1" customWidth="1"/>
    <col min="9" max="9" width="11.33203125" style="1" customWidth="1"/>
    <col min="10" max="10" width="14.5" style="1" customWidth="1"/>
    <col min="11" max="11" width="21.5" style="1" customWidth="1"/>
    <col min="12" max="12" width="12.1640625" style="1" bestFit="1" customWidth="1"/>
    <col min="13" max="16384" width="9.1640625" style="1"/>
  </cols>
  <sheetData>
    <row r="1" spans="1:12">
      <c r="A1" s="34" t="s">
        <v>30</v>
      </c>
      <c r="B1" s="5"/>
    </row>
    <row r="2" spans="1:12">
      <c r="A2" s="5"/>
      <c r="B2" s="5"/>
    </row>
    <row r="3" spans="1:12">
      <c r="A3" s="12"/>
      <c r="B3" s="5"/>
    </row>
    <row r="4" spans="1:12">
      <c r="B4" s="5"/>
    </row>
    <row r="5" spans="1:12" ht="31.25" customHeight="1">
      <c r="A5" s="29"/>
      <c r="B5" s="10" t="s">
        <v>29</v>
      </c>
      <c r="C5" s="10" t="s">
        <v>28</v>
      </c>
      <c r="D5" s="10" t="s">
        <v>27</v>
      </c>
      <c r="E5" s="10" t="s">
        <v>26</v>
      </c>
      <c r="F5" s="10" t="s">
        <v>25</v>
      </c>
      <c r="G5" s="10" t="s">
        <v>24</v>
      </c>
      <c r="H5" s="33"/>
      <c r="K5" s="1" t="s">
        <v>23</v>
      </c>
      <c r="L5" s="1">
        <v>1000000000</v>
      </c>
    </row>
    <row r="6" spans="1:12">
      <c r="A6" s="32" t="s">
        <v>10</v>
      </c>
      <c r="B6" s="98">
        <v>500000</v>
      </c>
      <c r="C6" s="98">
        <v>1000000</v>
      </c>
      <c r="D6" s="98">
        <v>0</v>
      </c>
      <c r="E6" s="98">
        <v>10000000</v>
      </c>
      <c r="F6" s="98">
        <v>100000</v>
      </c>
      <c r="G6" s="98">
        <v>2000000</v>
      </c>
      <c r="H6" s="31"/>
      <c r="K6" s="1" t="s">
        <v>22</v>
      </c>
      <c r="L6" s="1">
        <v>1000000</v>
      </c>
    </row>
    <row r="7" spans="1:12">
      <c r="A7" s="32" t="s">
        <v>9</v>
      </c>
      <c r="B7" s="98">
        <v>2000000</v>
      </c>
      <c r="C7" s="98">
        <v>1000000</v>
      </c>
      <c r="D7" s="98">
        <v>200000</v>
      </c>
      <c r="E7" s="98">
        <v>6000000</v>
      </c>
      <c r="F7" s="98">
        <v>100000</v>
      </c>
      <c r="G7" s="98">
        <v>7000000</v>
      </c>
      <c r="H7" s="31"/>
      <c r="K7" s="1" t="s">
        <v>21</v>
      </c>
      <c r="L7" s="1">
        <v>1000</v>
      </c>
    </row>
    <row r="8" spans="1:12">
      <c r="A8" s="32" t="s">
        <v>8</v>
      </c>
      <c r="B8" s="98">
        <v>2000000</v>
      </c>
      <c r="C8" s="98">
        <v>3000000</v>
      </c>
      <c r="D8" s="98">
        <v>100000</v>
      </c>
      <c r="E8" s="98">
        <v>5000000</v>
      </c>
      <c r="F8" s="98">
        <v>200000</v>
      </c>
      <c r="G8" s="98">
        <v>8000000</v>
      </c>
      <c r="H8" s="31"/>
    </row>
    <row r="9" spans="1:12">
      <c r="A9" s="32" t="s">
        <v>7</v>
      </c>
      <c r="B9" s="98">
        <v>5000000</v>
      </c>
      <c r="C9" s="98">
        <v>2000000</v>
      </c>
      <c r="D9" s="98">
        <v>700000</v>
      </c>
      <c r="E9" s="98">
        <v>4000000</v>
      </c>
      <c r="F9" s="98">
        <v>600000</v>
      </c>
      <c r="G9" s="98">
        <v>5000000</v>
      </c>
      <c r="H9" s="31"/>
    </row>
    <row r="10" spans="1:12">
      <c r="A10" s="32" t="s">
        <v>6</v>
      </c>
      <c r="B10" s="98">
        <v>4000000</v>
      </c>
      <c r="C10" s="98">
        <v>1000000</v>
      </c>
      <c r="D10" s="98">
        <v>800000</v>
      </c>
      <c r="E10" s="98">
        <v>2000000</v>
      </c>
      <c r="F10" s="98">
        <v>130000</v>
      </c>
      <c r="G10" s="98">
        <v>4000000</v>
      </c>
      <c r="H10" s="31"/>
    </row>
    <row r="11" spans="1:12">
      <c r="A11" s="32" t="s">
        <v>5</v>
      </c>
      <c r="B11" s="98">
        <v>2000000</v>
      </c>
      <c r="C11" s="98">
        <v>1000000</v>
      </c>
      <c r="D11" s="98">
        <v>100000</v>
      </c>
      <c r="E11" s="98">
        <v>1000000</v>
      </c>
      <c r="F11" s="98">
        <v>400000</v>
      </c>
      <c r="G11" s="98">
        <v>2000000</v>
      </c>
      <c r="H11" s="31"/>
    </row>
    <row r="12" spans="1:12">
      <c r="A12" s="32" t="s">
        <v>151</v>
      </c>
      <c r="B12" s="89">
        <f t="shared" ref="B12:G12" si="0">SUM(B6:B11)</f>
        <v>15500000</v>
      </c>
      <c r="C12" s="89">
        <f t="shared" si="0"/>
        <v>9000000</v>
      </c>
      <c r="D12" s="89">
        <f t="shared" si="0"/>
        <v>1900000</v>
      </c>
      <c r="E12" s="89">
        <f t="shared" si="0"/>
        <v>28000000</v>
      </c>
      <c r="F12" s="89">
        <f t="shared" si="0"/>
        <v>1530000</v>
      </c>
      <c r="G12" s="89">
        <f t="shared" si="0"/>
        <v>28000000</v>
      </c>
      <c r="H12" s="31"/>
    </row>
    <row r="13" spans="1:12">
      <c r="A13" s="12"/>
      <c r="B13" s="45"/>
      <c r="C13" s="45"/>
      <c r="D13" s="45"/>
      <c r="E13" s="45"/>
      <c r="F13" s="45"/>
      <c r="G13" s="45"/>
      <c r="H13" s="30"/>
    </row>
    <row r="14" spans="1:12">
      <c r="A14" s="29" t="s">
        <v>20</v>
      </c>
      <c r="B14" s="97">
        <v>16</v>
      </c>
      <c r="C14" s="97">
        <v>16</v>
      </c>
      <c r="D14" s="97">
        <v>10</v>
      </c>
      <c r="E14" s="97">
        <v>30</v>
      </c>
      <c r="F14" s="97">
        <v>5</v>
      </c>
      <c r="G14" s="97">
        <v>3</v>
      </c>
    </row>
    <row r="15" spans="1:12">
      <c r="A15" s="27" t="s">
        <v>19</v>
      </c>
      <c r="B15" s="88">
        <f>B14*B12 / 1000</f>
        <v>248000</v>
      </c>
      <c r="C15" s="88">
        <f t="shared" ref="C15:G15" si="1">C14*C12 / 1000</f>
        <v>144000</v>
      </c>
      <c r="D15" s="88">
        <f t="shared" si="1"/>
        <v>19000</v>
      </c>
      <c r="E15" s="88">
        <f t="shared" si="1"/>
        <v>840000</v>
      </c>
      <c r="F15" s="88">
        <f t="shared" si="1"/>
        <v>7650</v>
      </c>
      <c r="G15" s="88">
        <f t="shared" si="1"/>
        <v>84000</v>
      </c>
    </row>
    <row r="16" spans="1:12">
      <c r="A16" s="26"/>
      <c r="B16" s="25"/>
      <c r="C16" s="25"/>
      <c r="D16" s="25"/>
      <c r="E16" s="25"/>
      <c r="F16" s="25"/>
      <c r="G16" s="24"/>
    </row>
    <row r="17" spans="1:9">
      <c r="A17" s="23" t="s">
        <v>18</v>
      </c>
      <c r="B17" s="22"/>
      <c r="C17" s="22"/>
      <c r="D17" s="22"/>
      <c r="E17" s="22"/>
      <c r="F17" s="22"/>
      <c r="G17" s="21"/>
      <c r="H17" s="5"/>
    </row>
    <row r="18" spans="1:9">
      <c r="A18" s="20"/>
      <c r="B18" s="19"/>
      <c r="C18" s="19"/>
      <c r="D18" s="19"/>
      <c r="E18" s="19"/>
      <c r="F18" s="19"/>
      <c r="G18" s="18"/>
      <c r="H18" s="5"/>
    </row>
    <row r="19" spans="1:9">
      <c r="A19" s="17" t="s">
        <v>17</v>
      </c>
      <c r="B19" s="99">
        <v>585</v>
      </c>
      <c r="C19" s="99">
        <v>0</v>
      </c>
      <c r="D19" s="99">
        <v>0</v>
      </c>
      <c r="E19" s="99">
        <v>1036</v>
      </c>
      <c r="F19" s="99">
        <v>7</v>
      </c>
      <c r="G19" s="99">
        <v>22436</v>
      </c>
    </row>
    <row r="20" spans="1:9">
      <c r="A20" s="12" t="s">
        <v>16</v>
      </c>
      <c r="B20" s="100">
        <f>B19*B15</f>
        <v>145080000</v>
      </c>
      <c r="C20" s="100">
        <f t="shared" ref="C20:G20" si="2">C19*C15</f>
        <v>0</v>
      </c>
      <c r="D20" s="100">
        <f t="shared" si="2"/>
        <v>0</v>
      </c>
      <c r="E20" s="100">
        <f t="shared" si="2"/>
        <v>870240000</v>
      </c>
      <c r="F20" s="100">
        <f t="shared" si="2"/>
        <v>53550</v>
      </c>
      <c r="G20" s="100">
        <f t="shared" si="2"/>
        <v>1884624000</v>
      </c>
      <c r="H20" s="16"/>
    </row>
    <row r="21" spans="1:9">
      <c r="A21" s="5"/>
      <c r="B21" s="14"/>
      <c r="C21" s="14"/>
      <c r="D21" s="14"/>
      <c r="E21" s="14"/>
      <c r="F21" s="14"/>
      <c r="G21" s="14"/>
      <c r="H21" s="3"/>
      <c r="I21" s="3"/>
    </row>
    <row r="22" spans="1:9">
      <c r="A22" s="15" t="s">
        <v>15</v>
      </c>
      <c r="B22" s="101" cm="1">
        <f t="array" ref="B22">SUMPRODUCT(B12:G12 * B19:G19)</f>
        <v>666294210000</v>
      </c>
      <c r="C22" s="14"/>
      <c r="D22" s="14"/>
      <c r="E22" s="14"/>
      <c r="F22" s="14"/>
      <c r="G22" s="14"/>
      <c r="H22" s="3"/>
      <c r="I22" s="3"/>
    </row>
    <row r="23" spans="1:9">
      <c r="A23" s="5"/>
      <c r="B23" s="3"/>
      <c r="C23" s="3"/>
      <c r="D23" s="3"/>
      <c r="E23" s="3"/>
      <c r="F23" s="3"/>
      <c r="G23" s="3"/>
      <c r="H23" s="3"/>
      <c r="I23" s="3"/>
    </row>
    <row r="24" spans="1:9">
      <c r="A24" s="92" t="s">
        <v>14</v>
      </c>
      <c r="B24" s="93"/>
      <c r="C24" s="93"/>
      <c r="D24" s="93"/>
      <c r="E24" s="5"/>
      <c r="F24" s="5"/>
      <c r="G24" s="12"/>
      <c r="H24" s="5"/>
      <c r="I24" s="5"/>
    </row>
    <row r="25" spans="1:9" ht="14.5" customHeight="1">
      <c r="A25" s="11" t="s">
        <v>13</v>
      </c>
      <c r="B25" s="10" t="s">
        <v>12</v>
      </c>
      <c r="C25" s="10"/>
      <c r="D25" s="10" t="s">
        <v>11</v>
      </c>
      <c r="E25" s="9"/>
      <c r="F25" s="5"/>
      <c r="G25" s="5"/>
      <c r="H25" s="5"/>
      <c r="I25" s="5"/>
    </row>
    <row r="26" spans="1:9" ht="16">
      <c r="A26" s="8" t="s">
        <v>10</v>
      </c>
      <c r="B26" s="116" cm="1">
        <f t="array" ref="B26">SUMPRODUCT(B6:G6*$B$19:$G$19)</f>
        <v>55525200000</v>
      </c>
      <c r="C26" s="7" t="s">
        <v>0</v>
      </c>
      <c r="D26" s="113">
        <v>300000000</v>
      </c>
      <c r="E26" s="6"/>
      <c r="F26" s="5"/>
      <c r="G26" s="5"/>
      <c r="H26" s="5"/>
      <c r="I26" s="5"/>
    </row>
    <row r="27" spans="1:9" ht="16">
      <c r="A27" s="8" t="s">
        <v>9</v>
      </c>
      <c r="B27" s="116">
        <f>SUMPRODUCT(B7:G7*$B$19:$G$19)</f>
        <v>164438700000</v>
      </c>
      <c r="C27" s="7" t="s">
        <v>0</v>
      </c>
      <c r="D27" s="113">
        <v>500000000</v>
      </c>
      <c r="E27" s="6"/>
      <c r="F27" s="5"/>
      <c r="G27" s="5"/>
      <c r="H27" s="5"/>
      <c r="I27" s="5"/>
    </row>
    <row r="28" spans="1:9" ht="16">
      <c r="A28" s="8" t="s">
        <v>8</v>
      </c>
      <c r="B28" s="116">
        <f>SUMPRODUCT(B8:G8*$B$19:$G$19)</f>
        <v>185839400000</v>
      </c>
      <c r="C28" s="7" t="s">
        <v>0</v>
      </c>
      <c r="D28" s="113">
        <v>500000000</v>
      </c>
      <c r="E28" s="6"/>
      <c r="F28" s="5"/>
      <c r="G28" s="5"/>
      <c r="H28" s="5"/>
      <c r="I28" s="5"/>
    </row>
    <row r="29" spans="1:9" ht="16">
      <c r="A29" s="8" t="s">
        <v>7</v>
      </c>
      <c r="B29" s="116">
        <f>SUMPRODUCT(B9:G9*$B$19:$G$19)</f>
        <v>119253200000</v>
      </c>
      <c r="C29" s="7" t="s">
        <v>0</v>
      </c>
      <c r="D29" s="113">
        <v>450000000</v>
      </c>
      <c r="E29" s="6"/>
      <c r="F29" s="5"/>
      <c r="G29" s="5"/>
      <c r="H29" s="5"/>
      <c r="I29" s="5"/>
    </row>
    <row r="30" spans="1:9" ht="16">
      <c r="A30" s="8" t="s">
        <v>6</v>
      </c>
      <c r="B30" s="116">
        <f>SUMPRODUCT(B10:G10*$B$19:$G$19)</f>
        <v>94156910000</v>
      </c>
      <c r="C30" s="7" t="s">
        <v>0</v>
      </c>
      <c r="D30" s="113">
        <v>200000000</v>
      </c>
      <c r="E30" s="6"/>
      <c r="F30" s="5"/>
      <c r="G30" s="5"/>
      <c r="H30" s="5"/>
      <c r="I30" s="5"/>
    </row>
    <row r="31" spans="1:9" ht="16">
      <c r="A31" s="8" t="s">
        <v>5</v>
      </c>
      <c r="B31" s="116">
        <f>SUMPRODUCT(B11:G11*$B$19:$G$19)</f>
        <v>47080800000</v>
      </c>
      <c r="C31" s="7" t="s">
        <v>0</v>
      </c>
      <c r="D31" s="113">
        <v>100000000</v>
      </c>
      <c r="E31" s="6"/>
      <c r="F31" s="5"/>
      <c r="G31" s="5"/>
      <c r="H31" s="5"/>
      <c r="I31" s="5"/>
    </row>
    <row r="32" spans="1:9" s="91" customFormat="1" ht="16">
      <c r="A32" s="4" t="s">
        <v>4</v>
      </c>
      <c r="B32" s="117">
        <f>SUM(B20:G20)</f>
        <v>2899997550</v>
      </c>
      <c r="C32" s="7" t="s">
        <v>3</v>
      </c>
      <c r="D32" s="114">
        <v>2900000000</v>
      </c>
      <c r="E32" s="90"/>
      <c r="F32" s="78"/>
      <c r="G32" s="78"/>
      <c r="H32" s="78"/>
      <c r="I32" s="78"/>
    </row>
    <row r="33" spans="1:5" ht="16">
      <c r="A33" s="2" t="s">
        <v>2</v>
      </c>
      <c r="B33" s="118">
        <f>E20</f>
        <v>870240000</v>
      </c>
      <c r="C33" s="4" t="s">
        <v>150</v>
      </c>
      <c r="D33" s="114">
        <f>(D32*30)/100</f>
        <v>870000000</v>
      </c>
      <c r="E33" s="3"/>
    </row>
    <row r="34" spans="1:5" ht="16">
      <c r="A34" s="2" t="s">
        <v>1</v>
      </c>
      <c r="B34" s="118">
        <f>B20</f>
        <v>145080000</v>
      </c>
      <c r="C34" s="115" t="s">
        <v>0</v>
      </c>
      <c r="D34" s="114">
        <f>(D32*5)/100</f>
        <v>145000000</v>
      </c>
    </row>
  </sheetData>
  <printOptions horizontalCentered="1" verticalCentered="1" headings="1" gridLines="1" gridLinesSet="0"/>
  <pageMargins left="0.75" right="0.75" top="1" bottom="1" header="0.5" footer="0.5"/>
  <pageSetup scale="58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962C-2D38-4DFA-85CA-CFC1EC3A3F98}">
  <sheetPr>
    <pageSetUpPr fitToPage="1"/>
  </sheetPr>
  <dimension ref="A1:I34"/>
  <sheetViews>
    <sheetView zoomScale="87" zoomScaleNormal="87" workbookViewId="0">
      <selection activeCell="H23" sqref="H23"/>
    </sheetView>
  </sheetViews>
  <sheetFormatPr baseColWidth="10" defaultColWidth="9.1640625" defaultRowHeight="15"/>
  <cols>
    <col min="1" max="1" width="47" style="1" customWidth="1"/>
    <col min="2" max="3" width="13.5" style="1" customWidth="1"/>
    <col min="4" max="4" width="15.1640625" style="1" customWidth="1"/>
    <col min="5" max="5" width="13.1640625" style="1" bestFit="1" customWidth="1"/>
    <col min="6" max="6" width="12.83203125" style="1" customWidth="1"/>
    <col min="7" max="7" width="9.6640625" style="1" customWidth="1"/>
    <col min="8" max="8" width="11.5" style="1" customWidth="1"/>
    <col min="9" max="9" width="11.33203125" style="1" customWidth="1"/>
    <col min="10" max="10" width="12.5" style="1" customWidth="1"/>
    <col min="11" max="11" width="21.5" style="1" bestFit="1" customWidth="1"/>
    <col min="12" max="16384" width="9.1640625" style="1"/>
  </cols>
  <sheetData>
    <row r="1" spans="1:9">
      <c r="A1" s="34" t="s">
        <v>47</v>
      </c>
      <c r="B1" s="5"/>
    </row>
    <row r="2" spans="1:9">
      <c r="A2" s="5"/>
      <c r="B2" s="5"/>
    </row>
    <row r="3" spans="1:9">
      <c r="B3" s="5"/>
    </row>
    <row r="4" spans="1:9">
      <c r="A4" s="12" t="s">
        <v>46</v>
      </c>
      <c r="B4" s="5"/>
    </row>
    <row r="5" spans="1:9" ht="33" customHeight="1">
      <c r="A5" s="4"/>
      <c r="B5" s="10" t="s">
        <v>45</v>
      </c>
      <c r="C5" s="10" t="s">
        <v>44</v>
      </c>
      <c r="D5" s="10" t="s">
        <v>43</v>
      </c>
      <c r="E5" s="10" t="s">
        <v>42</v>
      </c>
      <c r="F5" s="10" t="s">
        <v>41</v>
      </c>
      <c r="G5" s="47"/>
      <c r="H5" s="48"/>
      <c r="I5" s="48"/>
    </row>
    <row r="6" spans="1:9">
      <c r="A6" s="32" t="s">
        <v>10</v>
      </c>
      <c r="B6" s="102">
        <v>2</v>
      </c>
      <c r="C6" s="102">
        <v>8</v>
      </c>
      <c r="D6" s="102">
        <v>0</v>
      </c>
      <c r="E6" s="102">
        <v>3</v>
      </c>
      <c r="F6" s="102">
        <v>0</v>
      </c>
      <c r="G6" s="47"/>
      <c r="H6" s="48"/>
      <c r="I6" s="48"/>
    </row>
    <row r="7" spans="1:9">
      <c r="A7" s="32" t="s">
        <v>9</v>
      </c>
      <c r="B7" s="102">
        <v>5</v>
      </c>
      <c r="C7" s="102">
        <v>6</v>
      </c>
      <c r="D7" s="102">
        <v>3</v>
      </c>
      <c r="E7" s="102">
        <v>6</v>
      </c>
      <c r="F7" s="102">
        <v>1</v>
      </c>
      <c r="G7" s="47"/>
      <c r="H7" s="48"/>
      <c r="I7" s="48"/>
    </row>
    <row r="8" spans="1:9">
      <c r="A8" s="32" t="s">
        <v>8</v>
      </c>
      <c r="B8" s="102">
        <v>6</v>
      </c>
      <c r="C8" s="102">
        <v>6</v>
      </c>
      <c r="D8" s="102">
        <v>5</v>
      </c>
      <c r="E8" s="102">
        <v>5</v>
      </c>
      <c r="F8" s="102">
        <v>2</v>
      </c>
      <c r="G8" s="47"/>
      <c r="H8" s="48"/>
      <c r="I8" s="48"/>
    </row>
    <row r="9" spans="1:9">
      <c r="A9" s="32" t="s">
        <v>7</v>
      </c>
      <c r="B9" s="102">
        <v>5</v>
      </c>
      <c r="C9" s="102">
        <v>5</v>
      </c>
      <c r="D9" s="102">
        <v>3</v>
      </c>
      <c r="E9" s="102">
        <v>4</v>
      </c>
      <c r="F9" s="102">
        <v>2</v>
      </c>
      <c r="G9" s="47"/>
      <c r="H9" s="48"/>
      <c r="I9" s="48"/>
    </row>
    <row r="10" spans="1:9">
      <c r="A10" s="32" t="s">
        <v>6</v>
      </c>
      <c r="B10" s="102">
        <v>3</v>
      </c>
      <c r="C10" s="102">
        <v>3</v>
      </c>
      <c r="D10" s="102">
        <v>2</v>
      </c>
      <c r="E10" s="102">
        <v>2</v>
      </c>
      <c r="F10" s="102">
        <v>2</v>
      </c>
      <c r="G10" s="47"/>
      <c r="H10" s="48"/>
      <c r="I10" s="48"/>
    </row>
    <row r="11" spans="1:9">
      <c r="A11" s="32" t="s">
        <v>5</v>
      </c>
      <c r="B11" s="102">
        <v>3</v>
      </c>
      <c r="C11" s="102">
        <v>1</v>
      </c>
      <c r="D11" s="102">
        <v>0</v>
      </c>
      <c r="E11" s="102">
        <v>0</v>
      </c>
      <c r="F11" s="102">
        <v>1</v>
      </c>
      <c r="G11" s="47"/>
      <c r="H11" s="48"/>
      <c r="I11" s="48"/>
    </row>
    <row r="12" spans="1:9">
      <c r="A12" s="8" t="s">
        <v>40</v>
      </c>
      <c r="B12" s="7">
        <f>SUM(B6:B11)</f>
        <v>24</v>
      </c>
      <c r="C12" s="7">
        <f>SUM(C6:C11)</f>
        <v>29</v>
      </c>
      <c r="D12" s="7">
        <f>SUM(D6:D11)</f>
        <v>13</v>
      </c>
      <c r="E12" s="7">
        <f>SUM(E6:E11)</f>
        <v>20</v>
      </c>
      <c r="F12" s="7">
        <f>SUM(F6:F11)</f>
        <v>8</v>
      </c>
      <c r="G12" s="47"/>
      <c r="H12" s="48"/>
      <c r="I12" s="48"/>
    </row>
    <row r="13" spans="1:9">
      <c r="A13" s="4"/>
      <c r="B13" s="7"/>
      <c r="C13" s="7"/>
      <c r="D13" s="7"/>
      <c r="E13" s="7"/>
      <c r="F13" s="7"/>
      <c r="G13" s="47"/>
      <c r="H13" s="48"/>
      <c r="I13" s="48"/>
    </row>
    <row r="14" spans="1:9">
      <c r="A14" s="4" t="s">
        <v>39</v>
      </c>
      <c r="B14" s="7">
        <v>7.19</v>
      </c>
      <c r="C14" s="7">
        <v>9.68</v>
      </c>
      <c r="D14" s="7">
        <v>6.59</v>
      </c>
      <c r="E14" s="7">
        <v>7.91</v>
      </c>
      <c r="F14" s="52">
        <v>6.46</v>
      </c>
      <c r="G14" s="47"/>
      <c r="H14" s="48"/>
      <c r="I14" s="48"/>
    </row>
    <row r="15" spans="1:9">
      <c r="A15" s="4" t="s">
        <v>38</v>
      </c>
      <c r="B15" s="28">
        <f>(B14/1000)*1000000</f>
        <v>7190</v>
      </c>
      <c r="C15" s="28">
        <f>(C14/1000)*1000000</f>
        <v>9680</v>
      </c>
      <c r="D15" s="28">
        <f>(D14/1000)*1000000</f>
        <v>6589.9999999999991</v>
      </c>
      <c r="E15" s="49">
        <f>(E14/1000)*1000000</f>
        <v>7910</v>
      </c>
      <c r="F15" s="28">
        <f>(F14/1000)*1000000</f>
        <v>6460</v>
      </c>
      <c r="G15" s="50"/>
      <c r="H15" s="48"/>
      <c r="I15" s="48"/>
    </row>
    <row r="16" spans="1:9">
      <c r="A16" s="27" t="s">
        <v>37</v>
      </c>
      <c r="B16" s="28">
        <f>B15*B12</f>
        <v>172560</v>
      </c>
      <c r="C16" s="28">
        <f>C15*C12</f>
        <v>280720</v>
      </c>
      <c r="D16" s="28">
        <f>D15*D12</f>
        <v>85669.999999999985</v>
      </c>
      <c r="E16" s="49">
        <f>E15*E12</f>
        <v>158200</v>
      </c>
      <c r="F16" s="28">
        <f>F15*F12</f>
        <v>51680</v>
      </c>
      <c r="G16" s="51"/>
      <c r="H16" s="3"/>
      <c r="I16" s="3"/>
    </row>
    <row r="17" spans="1:9">
      <c r="A17" s="13"/>
      <c r="B17" s="5"/>
      <c r="C17" s="5"/>
      <c r="D17" s="5"/>
      <c r="E17" s="5"/>
      <c r="F17" s="5"/>
      <c r="G17" s="44"/>
      <c r="H17" s="5"/>
      <c r="I17" s="5"/>
    </row>
    <row r="18" spans="1:9">
      <c r="A18" s="13" t="s">
        <v>18</v>
      </c>
      <c r="B18" s="53"/>
      <c r="C18" s="53"/>
      <c r="D18" s="53"/>
      <c r="E18" s="53"/>
      <c r="F18" s="53"/>
      <c r="G18" s="53"/>
      <c r="H18" s="33"/>
      <c r="I18" s="33"/>
    </row>
    <row r="19" spans="1:9">
      <c r="A19" s="4" t="s">
        <v>17</v>
      </c>
      <c r="B19" s="103">
        <v>2</v>
      </c>
      <c r="C19" s="103">
        <v>6</v>
      </c>
      <c r="D19" s="103">
        <v>0</v>
      </c>
      <c r="E19" s="103">
        <v>6</v>
      </c>
      <c r="F19" s="103">
        <v>0</v>
      </c>
      <c r="G19" s="46"/>
      <c r="H19" s="33"/>
      <c r="I19" s="33"/>
    </row>
    <row r="20" spans="1:9">
      <c r="A20" s="35"/>
      <c r="B20" s="14"/>
      <c r="C20" s="14"/>
      <c r="D20" s="14"/>
      <c r="E20" s="14"/>
      <c r="F20" s="14"/>
      <c r="G20" s="46"/>
      <c r="H20" s="33"/>
      <c r="I20" s="33"/>
    </row>
    <row r="21" spans="1:9">
      <c r="A21" s="13"/>
      <c r="B21" s="5"/>
      <c r="C21" s="3"/>
      <c r="D21" s="3"/>
      <c r="E21" s="3"/>
      <c r="F21" s="3"/>
      <c r="G21" s="3"/>
      <c r="H21" s="3"/>
      <c r="I21" s="3"/>
    </row>
    <row r="22" spans="1:9" ht="15" customHeight="1">
      <c r="A22" s="43" t="s">
        <v>36</v>
      </c>
      <c r="B22" s="42" cm="1">
        <f t="array" ref="B22">SUMPRODUCT(B14:I14*B19:I19)</f>
        <v>119.91999999999999</v>
      </c>
      <c r="C22" s="3"/>
      <c r="D22" s="3"/>
      <c r="E22" s="3"/>
      <c r="F22" s="3"/>
      <c r="G22" s="3"/>
      <c r="H22" s="3"/>
      <c r="I22" s="3"/>
    </row>
    <row r="23" spans="1:9">
      <c r="A23" s="5"/>
      <c r="B23" s="3"/>
      <c r="C23" s="3"/>
      <c r="D23" s="3"/>
      <c r="E23" s="3"/>
      <c r="F23" s="3"/>
      <c r="G23" s="3"/>
      <c r="H23" s="3"/>
      <c r="I23" s="3"/>
    </row>
    <row r="24" spans="1:9">
      <c r="A24" s="112" t="s">
        <v>14</v>
      </c>
      <c r="B24" s="5"/>
      <c r="C24" s="5"/>
      <c r="D24" s="5"/>
      <c r="E24" s="5"/>
      <c r="F24" s="5"/>
      <c r="G24" s="12"/>
      <c r="H24" s="5"/>
      <c r="I24" s="5"/>
    </row>
    <row r="25" spans="1:9" ht="15.5" customHeight="1">
      <c r="A25" s="36" t="s">
        <v>31</v>
      </c>
      <c r="B25" s="10" t="s">
        <v>35</v>
      </c>
      <c r="C25" s="41"/>
      <c r="D25" s="10" t="s">
        <v>34</v>
      </c>
      <c r="E25" s="5"/>
      <c r="F25" s="5"/>
      <c r="G25" s="5"/>
      <c r="H25" s="5"/>
      <c r="I25" s="5"/>
    </row>
    <row r="26" spans="1:9">
      <c r="A26" s="40" t="s">
        <v>10</v>
      </c>
      <c r="B26" s="105">
        <f>SUMPRODUCT(B6:F6,B19:F19)</f>
        <v>70</v>
      </c>
      <c r="C26" s="7" t="s">
        <v>0</v>
      </c>
      <c r="D26" s="107">
        <v>30</v>
      </c>
      <c r="E26" s="5"/>
      <c r="F26" s="5"/>
      <c r="G26" s="5"/>
      <c r="H26" s="5"/>
      <c r="I26" s="5"/>
    </row>
    <row r="27" spans="1:9">
      <c r="A27" s="40" t="s">
        <v>9</v>
      </c>
      <c r="B27" s="105">
        <f>SUMPRODUCT(B7:I7*$B$19:$I$19)</f>
        <v>82</v>
      </c>
      <c r="C27" s="7" t="s">
        <v>0</v>
      </c>
      <c r="D27" s="107">
        <v>60</v>
      </c>
      <c r="E27" s="5"/>
      <c r="F27" s="5"/>
      <c r="G27" s="5"/>
      <c r="H27" s="5"/>
      <c r="I27" s="5"/>
    </row>
    <row r="28" spans="1:9">
      <c r="A28" s="40" t="s">
        <v>8</v>
      </c>
      <c r="B28" s="105">
        <f>SUMPRODUCT(B8:I8*$B$19:$I$19)</f>
        <v>78</v>
      </c>
      <c r="C28" s="7" t="s">
        <v>0</v>
      </c>
      <c r="D28" s="107">
        <v>60</v>
      </c>
      <c r="E28" s="5"/>
      <c r="F28" s="5"/>
      <c r="G28" s="5"/>
      <c r="H28" s="5"/>
      <c r="I28" s="5"/>
    </row>
    <row r="29" spans="1:9">
      <c r="A29" s="40" t="s">
        <v>7</v>
      </c>
      <c r="B29" s="105">
        <f>SUMPRODUCT(B9:I9*$B$19:$I$19)</f>
        <v>64</v>
      </c>
      <c r="C29" s="7" t="s">
        <v>0</v>
      </c>
      <c r="D29" s="107">
        <v>30</v>
      </c>
      <c r="E29" s="5"/>
      <c r="F29" s="5"/>
      <c r="G29" s="5"/>
      <c r="H29" s="5"/>
      <c r="I29" s="5"/>
    </row>
    <row r="30" spans="1:9">
      <c r="A30" s="40" t="s">
        <v>6</v>
      </c>
      <c r="B30" s="105">
        <f>SUMPRODUCT(B10:I10*$B$19:$I$19)</f>
        <v>36</v>
      </c>
      <c r="C30" s="7" t="s">
        <v>0</v>
      </c>
      <c r="D30" s="107">
        <v>20</v>
      </c>
      <c r="E30" s="5"/>
      <c r="F30" s="5"/>
      <c r="G30" s="5"/>
      <c r="H30" s="5"/>
      <c r="I30" s="5"/>
    </row>
    <row r="31" spans="1:9">
      <c r="A31" s="40" t="s">
        <v>5</v>
      </c>
      <c r="B31" s="105">
        <f>SUMPRODUCT(B11:I11*$B$19:$I$19)</f>
        <v>12</v>
      </c>
      <c r="C31" s="7" t="s">
        <v>0</v>
      </c>
      <c r="D31" s="107">
        <v>10</v>
      </c>
      <c r="E31" s="5"/>
      <c r="F31" s="5"/>
      <c r="G31" s="5"/>
      <c r="H31" s="5"/>
      <c r="I31" s="5"/>
    </row>
    <row r="32" spans="1:9">
      <c r="A32" s="39" t="s">
        <v>33</v>
      </c>
      <c r="B32" s="106">
        <f>C19</f>
        <v>6</v>
      </c>
      <c r="C32" s="119" t="s">
        <v>32</v>
      </c>
      <c r="D32" s="108">
        <v>6</v>
      </c>
    </row>
    <row r="33" spans="1:4">
      <c r="A33" s="109"/>
      <c r="B33" s="110"/>
      <c r="C33" s="111"/>
      <c r="D33" s="104"/>
    </row>
    <row r="34" spans="1:4">
      <c r="C34" s="38"/>
      <c r="D34" s="37"/>
    </row>
  </sheetData>
  <printOptions horizontalCentered="1" verticalCentered="1" headings="1" gridLines="1" gridLinesSet="0"/>
  <pageMargins left="0.75" right="0.75" top="1" bottom="1" header="0.5" footer="0.5"/>
  <pageSetup scale="58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EC9B-186F-4CF8-BEF3-F62884449DB1}">
  <dimension ref="A1:B15"/>
  <sheetViews>
    <sheetView workbookViewId="0"/>
  </sheetViews>
  <sheetFormatPr baseColWidth="10" defaultColWidth="8.83203125" defaultRowHeight="15"/>
  <sheetData>
    <row r="1" spans="1:2">
      <c r="A1">
        <v>1</v>
      </c>
    </row>
    <row r="2" spans="1:2">
      <c r="A2" t="s">
        <v>48</v>
      </c>
    </row>
    <row r="3" spans="1:2">
      <c r="A3">
        <v>1</v>
      </c>
    </row>
    <row r="4" spans="1:2">
      <c r="A4">
        <v>5</v>
      </c>
    </row>
    <row r="5" spans="1:2">
      <c r="A5">
        <v>15</v>
      </c>
    </row>
    <row r="6" spans="1:2">
      <c r="A6">
        <v>1</v>
      </c>
    </row>
    <row r="8" spans="1:2">
      <c r="A8" s="54"/>
      <c r="B8" s="54"/>
    </row>
    <row r="9" spans="1:2">
      <c r="A9" t="s">
        <v>49</v>
      </c>
    </row>
    <row r="10" spans="1:2">
      <c r="A10" t="s">
        <v>50</v>
      </c>
    </row>
    <row r="15" spans="1:2">
      <c r="B15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DB9B-4846-4F26-BC7E-DF9BB5DD9268}">
  <dimension ref="A1:O15"/>
  <sheetViews>
    <sheetView workbookViewId="0">
      <selection activeCell="Q26" sqref="Q26"/>
    </sheetView>
  </sheetViews>
  <sheetFormatPr baseColWidth="10" defaultColWidth="8.83203125" defaultRowHeight="15"/>
  <sheetData>
    <row r="1" spans="1:15">
      <c r="A1" s="55" t="s">
        <v>51</v>
      </c>
      <c r="O1" s="61" t="str">
        <f>CONCATENATE("Sensitivity of ",$O$4," to ","Impact of numbers of pepsi ad on youtube on Total Cost ")</f>
        <v xml:space="preserve">Sensitivity of $B$22 to Impact of numbers of pepsi ad on youtube on Total Cost </v>
      </c>
    </row>
    <row r="3" spans="1:15">
      <c r="A3" t="s">
        <v>52</v>
      </c>
      <c r="O3" t="s">
        <v>55</v>
      </c>
    </row>
    <row r="4" spans="1:15" ht="37">
      <c r="B4" s="57" t="s">
        <v>53</v>
      </c>
      <c r="C4" s="57" t="s">
        <v>54</v>
      </c>
      <c r="J4" s="61">
        <f>MATCH($O$4,OutputAddresses,0)</f>
        <v>2</v>
      </c>
      <c r="O4" s="60" t="s">
        <v>54</v>
      </c>
    </row>
    <row r="5" spans="1:15">
      <c r="A5" s="56">
        <v>5</v>
      </c>
      <c r="B5" s="62">
        <v>5</v>
      </c>
      <c r="C5" s="63">
        <v>123.88</v>
      </c>
      <c r="O5">
        <f>INDEX(OutputValues,1,$J$4)</f>
        <v>123.88</v>
      </c>
    </row>
    <row r="6" spans="1:15">
      <c r="A6" s="56">
        <v>6</v>
      </c>
      <c r="B6" s="64">
        <v>6</v>
      </c>
      <c r="C6" s="65">
        <v>119.92</v>
      </c>
      <c r="O6">
        <f>INDEX(OutputValues,2,$J$4)</f>
        <v>119.92</v>
      </c>
    </row>
    <row r="7" spans="1:15">
      <c r="A7" s="56">
        <v>7</v>
      </c>
      <c r="B7" s="64">
        <v>7</v>
      </c>
      <c r="C7" s="65">
        <v>130.32</v>
      </c>
      <c r="O7">
        <f>INDEX(OutputValues,3,$J$4)</f>
        <v>130.32</v>
      </c>
    </row>
    <row r="8" spans="1:15">
      <c r="A8" s="56">
        <v>8</v>
      </c>
      <c r="B8" s="64">
        <v>8</v>
      </c>
      <c r="C8" s="65">
        <v>132.09</v>
      </c>
      <c r="O8">
        <f>INDEX(OutputValues,4,$J$4)</f>
        <v>132.09</v>
      </c>
    </row>
    <row r="9" spans="1:15">
      <c r="A9" s="56">
        <v>9</v>
      </c>
      <c r="B9" s="64">
        <v>9</v>
      </c>
      <c r="C9" s="65">
        <v>148.94999999999999</v>
      </c>
      <c r="O9">
        <f>INDEX(OutputValues,5,$J$4)</f>
        <v>148.94999999999999</v>
      </c>
    </row>
    <row r="10" spans="1:15">
      <c r="A10" s="56">
        <v>10</v>
      </c>
      <c r="B10" s="64">
        <v>10</v>
      </c>
      <c r="C10" s="65">
        <v>144.26</v>
      </c>
      <c r="O10">
        <f>INDEX(OutputValues,6,$J$4)</f>
        <v>144.26</v>
      </c>
    </row>
    <row r="11" spans="1:15">
      <c r="A11" s="56">
        <v>11</v>
      </c>
      <c r="B11" s="64">
        <v>11</v>
      </c>
      <c r="C11" s="65">
        <v>153.94</v>
      </c>
      <c r="O11">
        <f>INDEX(OutputValues,7,$J$4)</f>
        <v>153.94</v>
      </c>
    </row>
    <row r="12" spans="1:15">
      <c r="A12" s="56">
        <v>12</v>
      </c>
      <c r="B12" s="64">
        <v>12</v>
      </c>
      <c r="C12" s="65">
        <v>155.71</v>
      </c>
      <c r="O12">
        <f>INDEX(OutputValues,8,$J$4)</f>
        <v>155.71</v>
      </c>
    </row>
    <row r="13" spans="1:15">
      <c r="A13" s="56">
        <v>13</v>
      </c>
      <c r="B13" s="64">
        <v>13</v>
      </c>
      <c r="C13" s="65">
        <v>165.39</v>
      </c>
      <c r="O13">
        <f>INDEX(OutputValues,9,$J$4)</f>
        <v>165.39</v>
      </c>
    </row>
    <row r="14" spans="1:15">
      <c r="A14" s="56">
        <v>14</v>
      </c>
      <c r="B14" s="64">
        <v>14</v>
      </c>
      <c r="C14" s="65">
        <v>167.16</v>
      </c>
      <c r="O14">
        <f>INDEX(OutputValues,10,$J$4)</f>
        <v>167.16</v>
      </c>
    </row>
    <row r="15" spans="1:15">
      <c r="A15" s="56">
        <v>15</v>
      </c>
      <c r="B15" s="66">
        <v>15</v>
      </c>
      <c r="C15" s="67">
        <v>168.93</v>
      </c>
      <c r="O15">
        <f>INDEX(OutputValues,11,$J$4)</f>
        <v>168.93</v>
      </c>
    </row>
  </sheetData>
  <dataValidations count="1">
    <dataValidation type="list" allowBlank="1" showInputMessage="1" showErrorMessage="1" sqref="O4" xr:uid="{F1B8B683-CD56-4C09-AD6C-CA8D0A97C16E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6F78-E44A-40C1-80CB-C0EA59CC0350}">
  <dimension ref="A1:B18"/>
  <sheetViews>
    <sheetView workbookViewId="0"/>
  </sheetViews>
  <sheetFormatPr baseColWidth="10" defaultColWidth="8.83203125" defaultRowHeight="15"/>
  <sheetData>
    <row r="1" spans="1:2">
      <c r="A1">
        <v>1</v>
      </c>
      <c r="B1">
        <v>1</v>
      </c>
    </row>
    <row r="2" spans="1:2">
      <c r="A2" t="s">
        <v>48</v>
      </c>
      <c r="B2" t="s">
        <v>161</v>
      </c>
    </row>
    <row r="3" spans="1:2">
      <c r="A3">
        <v>1</v>
      </c>
      <c r="B3">
        <v>1</v>
      </c>
    </row>
    <row r="4" spans="1:2">
      <c r="A4">
        <v>2500000000</v>
      </c>
      <c r="B4" s="121">
        <v>400000000</v>
      </c>
    </row>
    <row r="5" spans="1:2">
      <c r="A5">
        <v>4000000000</v>
      </c>
      <c r="B5" s="121">
        <v>1000000000</v>
      </c>
    </row>
    <row r="6" spans="1:2">
      <c r="A6">
        <v>100000000</v>
      </c>
      <c r="B6" s="121">
        <v>100000000</v>
      </c>
    </row>
    <row r="8" spans="1:2">
      <c r="A8" s="54"/>
      <c r="B8" s="54" t="s">
        <v>162</v>
      </c>
    </row>
    <row r="9" spans="1:2">
      <c r="A9" t="s">
        <v>152</v>
      </c>
      <c r="B9" t="s">
        <v>163</v>
      </c>
    </row>
    <row r="10" spans="1:2">
      <c r="A10" t="s">
        <v>57</v>
      </c>
      <c r="B10">
        <v>1</v>
      </c>
    </row>
    <row r="11" spans="1:2">
      <c r="B11" s="121">
        <v>400000000</v>
      </c>
    </row>
    <row r="12" spans="1:2">
      <c r="B12" s="121">
        <v>1000000000</v>
      </c>
    </row>
    <row r="13" spans="1:2">
      <c r="B13" s="121">
        <v>100000000</v>
      </c>
    </row>
    <row r="15" spans="1:2">
      <c r="B15" s="54" t="s">
        <v>162</v>
      </c>
    </row>
    <row r="16" spans="1:2">
      <c r="B16" t="s">
        <v>152</v>
      </c>
    </row>
    <row r="17" spans="2:2">
      <c r="B17" t="s">
        <v>164</v>
      </c>
    </row>
    <row r="18" spans="2:2">
      <c r="B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ABCE-48D1-48D4-8C61-2102634DFA25}">
  <dimension ref="A1:T20"/>
  <sheetViews>
    <sheetView topLeftCell="A2" workbookViewId="0">
      <selection activeCell="Q13" sqref="Q13"/>
    </sheetView>
  </sheetViews>
  <sheetFormatPr baseColWidth="10" defaultColWidth="8.83203125" defaultRowHeight="15"/>
  <cols>
    <col min="1" max="1" width="16.83203125" bestFit="1" customWidth="1"/>
    <col min="7" max="7" width="9.5" bestFit="1" customWidth="1"/>
    <col min="8" max="8" width="18.33203125" bestFit="1" customWidth="1"/>
    <col min="20" max="20" width="17.5" customWidth="1"/>
  </cols>
  <sheetData>
    <row r="1" spans="1:20">
      <c r="A1" s="55" t="s">
        <v>56</v>
      </c>
      <c r="T1" s="61" t="str">
        <f>CONCATENATE("Sensitivity of ",$T$4," to ","Impact of Changing Budget on number of exposures")</f>
        <v>Sensitivity of $B$22 to Impact of Changing Budget on number of exposures</v>
      </c>
    </row>
    <row r="3" spans="1:20">
      <c r="A3" t="s">
        <v>153</v>
      </c>
      <c r="T3" t="s">
        <v>55</v>
      </c>
    </row>
    <row r="4" spans="1:20" ht="38">
      <c r="B4" s="57" t="s">
        <v>154</v>
      </c>
      <c r="C4" s="57" t="s">
        <v>53</v>
      </c>
      <c r="D4" s="57" t="s">
        <v>155</v>
      </c>
      <c r="E4" s="57" t="s">
        <v>156</v>
      </c>
      <c r="F4" s="57" t="s">
        <v>157</v>
      </c>
      <c r="G4" s="57" t="s">
        <v>158</v>
      </c>
      <c r="H4" s="57" t="s">
        <v>54</v>
      </c>
      <c r="J4" s="61">
        <f>MATCH($T$4,OutputAddresses,0)</f>
        <v>7</v>
      </c>
      <c r="T4" s="60" t="s">
        <v>54</v>
      </c>
    </row>
    <row r="5" spans="1:20">
      <c r="A5" s="94">
        <v>2500000000</v>
      </c>
      <c r="B5" s="62">
        <v>506</v>
      </c>
      <c r="C5" s="70">
        <v>0</v>
      </c>
      <c r="D5" s="70">
        <v>0</v>
      </c>
      <c r="E5" s="70">
        <v>893</v>
      </c>
      <c r="F5" s="70">
        <v>0</v>
      </c>
      <c r="G5" s="70">
        <v>19338</v>
      </c>
      <c r="H5" s="71">
        <v>574311000000</v>
      </c>
      <c r="T5">
        <f>INDEX(OutputValues,1,$J$4)</f>
        <v>574311000000</v>
      </c>
    </row>
    <row r="6" spans="1:20">
      <c r="A6" s="94">
        <v>2600000000</v>
      </c>
      <c r="B6" s="64">
        <v>525</v>
      </c>
      <c r="C6" s="72">
        <v>0</v>
      </c>
      <c r="D6" s="72">
        <v>0</v>
      </c>
      <c r="E6" s="72">
        <v>929</v>
      </c>
      <c r="F6" s="72">
        <v>4</v>
      </c>
      <c r="G6" s="72">
        <v>20112</v>
      </c>
      <c r="H6" s="73">
        <v>597291620000</v>
      </c>
      <c r="T6">
        <f>INDEX(OutputValues,2,$J$4)</f>
        <v>597291620000</v>
      </c>
    </row>
    <row r="7" spans="1:20">
      <c r="A7" s="94">
        <v>2700000000</v>
      </c>
      <c r="B7" s="64">
        <v>545</v>
      </c>
      <c r="C7" s="72">
        <v>0</v>
      </c>
      <c r="D7" s="72">
        <v>0</v>
      </c>
      <c r="E7" s="72">
        <v>965</v>
      </c>
      <c r="F7" s="72">
        <v>195</v>
      </c>
      <c r="G7" s="72">
        <v>20866</v>
      </c>
      <c r="H7" s="73">
        <v>620013850000</v>
      </c>
      <c r="T7">
        <f>INDEX(OutputValues,3,$J$4)</f>
        <v>620013850000</v>
      </c>
    </row>
    <row r="8" spans="1:20">
      <c r="A8" s="94">
        <v>2800000000</v>
      </c>
      <c r="B8" s="64">
        <v>565</v>
      </c>
      <c r="C8" s="72">
        <v>0</v>
      </c>
      <c r="D8" s="72">
        <v>0</v>
      </c>
      <c r="E8" s="72">
        <v>1000</v>
      </c>
      <c r="F8" s="72">
        <v>35</v>
      </c>
      <c r="G8" s="72">
        <v>21662</v>
      </c>
      <c r="H8" s="73">
        <v>643347050000</v>
      </c>
      <c r="T8">
        <f>INDEX(OutputValues,4,$J$4)</f>
        <v>643347050000</v>
      </c>
    </row>
    <row r="9" spans="1:20">
      <c r="A9" s="94">
        <v>2900000000</v>
      </c>
      <c r="B9" s="64">
        <v>585</v>
      </c>
      <c r="C9" s="72">
        <v>0</v>
      </c>
      <c r="D9" s="72">
        <v>0</v>
      </c>
      <c r="E9" s="72">
        <v>1036</v>
      </c>
      <c r="F9" s="72">
        <v>7</v>
      </c>
      <c r="G9" s="72">
        <v>22436</v>
      </c>
      <c r="H9" s="73">
        <v>666294210000</v>
      </c>
      <c r="T9">
        <f>INDEX(OutputValues,5,$J$4)</f>
        <v>666294210000</v>
      </c>
    </row>
    <row r="10" spans="1:20">
      <c r="A10" s="94">
        <v>3000000000</v>
      </c>
      <c r="B10" s="64">
        <v>605</v>
      </c>
      <c r="C10" s="72">
        <v>0</v>
      </c>
      <c r="D10" s="72">
        <v>0</v>
      </c>
      <c r="E10" s="72">
        <v>1072</v>
      </c>
      <c r="F10" s="72">
        <v>1</v>
      </c>
      <c r="G10" s="72">
        <v>23208</v>
      </c>
      <c r="H10" s="73">
        <v>689219030000</v>
      </c>
      <c r="T10">
        <f>INDEX(OutputValues,6,$J$4)</f>
        <v>689219030000</v>
      </c>
    </row>
    <row r="11" spans="1:20">
      <c r="A11" s="94">
        <v>3100000000</v>
      </c>
      <c r="B11" s="64">
        <v>625</v>
      </c>
      <c r="C11" s="72">
        <v>0</v>
      </c>
      <c r="D11" s="72">
        <v>0</v>
      </c>
      <c r="E11" s="72">
        <v>1108</v>
      </c>
      <c r="F11" s="72">
        <v>115</v>
      </c>
      <c r="G11" s="72">
        <v>23969</v>
      </c>
      <c r="H11" s="73">
        <v>712019450000</v>
      </c>
      <c r="T11">
        <f>INDEX(OutputValues,7,$J$4)</f>
        <v>712019450000</v>
      </c>
    </row>
    <row r="12" spans="1:20">
      <c r="A12" s="94">
        <v>3200000000</v>
      </c>
      <c r="B12" s="64">
        <v>646</v>
      </c>
      <c r="C12" s="72">
        <v>0</v>
      </c>
      <c r="D12" s="72">
        <v>0</v>
      </c>
      <c r="E12" s="72">
        <v>1143</v>
      </c>
      <c r="F12" s="72">
        <v>0</v>
      </c>
      <c r="G12" s="72">
        <v>24758</v>
      </c>
      <c r="H12" s="73">
        <v>735241000000</v>
      </c>
      <c r="T12">
        <f>INDEX(OutputValues,8,$J$4)</f>
        <v>735241000000</v>
      </c>
    </row>
    <row r="13" spans="1:20">
      <c r="A13" s="94">
        <v>3300000000</v>
      </c>
      <c r="B13" s="64">
        <v>666</v>
      </c>
      <c r="C13" s="72">
        <v>0</v>
      </c>
      <c r="D13" s="72">
        <v>0</v>
      </c>
      <c r="E13" s="72">
        <v>1179</v>
      </c>
      <c r="F13" s="72">
        <v>81</v>
      </c>
      <c r="G13" s="72">
        <v>25522</v>
      </c>
      <c r="H13" s="73">
        <v>758074930000</v>
      </c>
      <c r="T13">
        <f>INDEX(OutputValues,9,$J$4)</f>
        <v>758074930000</v>
      </c>
    </row>
    <row r="14" spans="1:20">
      <c r="A14" s="94">
        <v>3400000000</v>
      </c>
      <c r="B14" s="64">
        <v>686</v>
      </c>
      <c r="C14" s="72">
        <v>0</v>
      </c>
      <c r="D14" s="72">
        <v>0</v>
      </c>
      <c r="E14" s="72">
        <v>1215</v>
      </c>
      <c r="F14" s="72">
        <v>9</v>
      </c>
      <c r="G14" s="72">
        <v>26300</v>
      </c>
      <c r="H14" s="73">
        <v>781066770000</v>
      </c>
      <c r="T14">
        <f>INDEX(OutputValues,10,$J$4)</f>
        <v>781066770000</v>
      </c>
    </row>
    <row r="15" spans="1:20">
      <c r="A15" s="94">
        <v>3500000000</v>
      </c>
      <c r="B15" s="64">
        <v>706</v>
      </c>
      <c r="C15" s="72">
        <v>0</v>
      </c>
      <c r="D15" s="72">
        <v>0</v>
      </c>
      <c r="E15" s="72">
        <v>1250</v>
      </c>
      <c r="F15" s="72">
        <v>3</v>
      </c>
      <c r="G15" s="72">
        <v>27082</v>
      </c>
      <c r="H15" s="73">
        <v>804243590000</v>
      </c>
      <c r="T15">
        <f>INDEX(OutputValues,11,$J$4)</f>
        <v>804243590000</v>
      </c>
    </row>
    <row r="16" spans="1:20">
      <c r="A16" s="94">
        <v>3600000000</v>
      </c>
      <c r="B16" s="64">
        <v>726</v>
      </c>
      <c r="C16" s="72">
        <v>0</v>
      </c>
      <c r="D16" s="72">
        <v>0</v>
      </c>
      <c r="E16" s="72">
        <v>1286</v>
      </c>
      <c r="F16" s="72">
        <v>161</v>
      </c>
      <c r="G16" s="72">
        <v>27839</v>
      </c>
      <c r="H16" s="73">
        <v>826999330000</v>
      </c>
      <c r="T16">
        <f>INDEX(OutputValues,12,$J$4)</f>
        <v>826999330000</v>
      </c>
    </row>
    <row r="17" spans="1:20">
      <c r="A17" s="94">
        <v>3700000000</v>
      </c>
      <c r="B17" s="64">
        <v>746</v>
      </c>
      <c r="C17" s="72">
        <v>0</v>
      </c>
      <c r="D17" s="72">
        <v>0</v>
      </c>
      <c r="E17" s="72">
        <v>1322</v>
      </c>
      <c r="F17" s="72">
        <v>1</v>
      </c>
      <c r="G17" s="72">
        <v>28625</v>
      </c>
      <c r="H17" s="73">
        <v>850080530000</v>
      </c>
      <c r="T17">
        <f>INDEX(OutputValues,13,$J$4)</f>
        <v>850080530000</v>
      </c>
    </row>
    <row r="18" spans="1:20">
      <c r="A18" s="94">
        <v>3800000000</v>
      </c>
      <c r="B18" s="95" t="s">
        <v>159</v>
      </c>
      <c r="C18" s="68"/>
      <c r="D18" s="68"/>
      <c r="E18" s="68"/>
      <c r="F18" s="68"/>
      <c r="G18" s="68"/>
      <c r="H18" s="58"/>
      <c r="T18">
        <f>INDEX(OutputValues,14,$J$4)</f>
        <v>0</v>
      </c>
    </row>
    <row r="19" spans="1:20">
      <c r="A19" s="94">
        <v>3900000000</v>
      </c>
      <c r="B19" s="95" t="s">
        <v>159</v>
      </c>
      <c r="C19" s="68"/>
      <c r="D19" s="68"/>
      <c r="E19" s="68"/>
      <c r="F19" s="68"/>
      <c r="G19" s="68"/>
      <c r="H19" s="58"/>
      <c r="T19">
        <f>INDEX(OutputValues,15,$J$4)</f>
        <v>0</v>
      </c>
    </row>
    <row r="20" spans="1:20">
      <c r="A20" s="94">
        <v>4000000000</v>
      </c>
      <c r="B20" s="96" t="s">
        <v>159</v>
      </c>
      <c r="C20" s="69"/>
      <c r="D20" s="69"/>
      <c r="E20" s="69"/>
      <c r="F20" s="69"/>
      <c r="G20" s="69"/>
      <c r="H20" s="59"/>
      <c r="T20">
        <f>INDEX(OutputValues,16,$J$4)</f>
        <v>0</v>
      </c>
    </row>
  </sheetData>
  <dataValidations count="1">
    <dataValidation type="list" allowBlank="1" showInputMessage="1" showErrorMessage="1" sqref="T4" xr:uid="{597979BA-0FD0-4C0B-A300-B5BCA912F158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7B3-E41D-4DE3-81E6-9442E4AB3599}">
  <dimension ref="A1:AZ65"/>
  <sheetViews>
    <sheetView topLeftCell="A8" zoomScale="90" zoomScaleNormal="90" workbookViewId="0">
      <selection activeCell="S32" sqref="S32"/>
    </sheetView>
  </sheetViews>
  <sheetFormatPr baseColWidth="10" defaultColWidth="8.83203125" defaultRowHeight="15"/>
  <cols>
    <col min="1" max="1" width="14.33203125" bestFit="1" customWidth="1"/>
    <col min="2" max="8" width="18.33203125" bestFit="1" customWidth="1"/>
  </cols>
  <sheetData>
    <row r="1" spans="1:52">
      <c r="A1" s="55" t="s">
        <v>166</v>
      </c>
      <c r="K1" s="61" t="str">
        <f>CONCATENATE("Sensitivity of ",$K$4," to ","Impact of Changing Exposures on Age category 26-35 on Number of ads purchased and Total exposures")</f>
        <v>Sensitivity of $B$22 to Impact of Changing Exposures on Age category 26-35 on Number of ads purchased and Total exposures</v>
      </c>
      <c r="O1" s="61" t="str">
        <f>CONCATENATE("Sensitivity of ",$O$4," to ","Impact of Changing Minimum Required Exposures in age category 16-25 on Number of Ads purchased and total exposures")</f>
        <v>Sensitivity of $B$22 to Impact of Changing Minimum Required Exposures in age category 16-25 on Number of Ads purchased and total exposures</v>
      </c>
    </row>
    <row r="2" spans="1:52">
      <c r="K2" t="s">
        <v>168</v>
      </c>
      <c r="O2" t="s">
        <v>171</v>
      </c>
      <c r="AZ2" t="s">
        <v>154</v>
      </c>
    </row>
    <row r="3" spans="1:52">
      <c r="A3" t="s">
        <v>167</v>
      </c>
      <c r="K3" t="s">
        <v>169</v>
      </c>
      <c r="L3" t="s">
        <v>170</v>
      </c>
      <c r="O3" t="s">
        <v>169</v>
      </c>
      <c r="P3" t="s">
        <v>172</v>
      </c>
      <c r="AZ3" t="s">
        <v>53</v>
      </c>
    </row>
    <row r="4" spans="1:52" ht="37">
      <c r="A4" s="123" t="s">
        <v>154</v>
      </c>
      <c r="B4" s="122">
        <v>400000000</v>
      </c>
      <c r="C4" s="122">
        <v>500000000</v>
      </c>
      <c r="D4" s="122">
        <v>600000000</v>
      </c>
      <c r="E4" s="122">
        <v>700000000</v>
      </c>
      <c r="F4" s="122">
        <v>800000000</v>
      </c>
      <c r="G4" s="122">
        <v>900000000</v>
      </c>
      <c r="H4" s="122">
        <v>1000000000</v>
      </c>
      <c r="J4" s="61">
        <f>MATCH($K$4,OutputAddresses,0)</f>
        <v>7</v>
      </c>
      <c r="K4" s="60" t="s">
        <v>54</v>
      </c>
      <c r="L4" s="124">
        <v>400000000</v>
      </c>
      <c r="M4" s="61">
        <f>MATCH($L$4,InputValues1,0)</f>
        <v>1</v>
      </c>
      <c r="N4" s="61">
        <f>MATCH($O$4,OutputAddresses,0)</f>
        <v>7</v>
      </c>
      <c r="O4" s="60" t="s">
        <v>54</v>
      </c>
      <c r="P4" s="124">
        <v>400000000</v>
      </c>
      <c r="Q4" s="61">
        <f>MATCH($P$4,InputValues2,0)</f>
        <v>1</v>
      </c>
      <c r="AZ4" t="s">
        <v>155</v>
      </c>
    </row>
    <row r="5" spans="1:52">
      <c r="A5" s="122">
        <v>400000000</v>
      </c>
      <c r="B5" s="62">
        <v>585</v>
      </c>
      <c r="C5" s="128" t="s">
        <v>159</v>
      </c>
      <c r="D5" s="128" t="s">
        <v>159</v>
      </c>
      <c r="E5" s="128" t="s">
        <v>159</v>
      </c>
      <c r="F5" s="128" t="s">
        <v>159</v>
      </c>
      <c r="G5" s="128" t="s">
        <v>159</v>
      </c>
      <c r="H5" s="132" t="s">
        <v>159</v>
      </c>
      <c r="J5" s="61" t="str">
        <f>"OutputValues_"&amp;$J$4</f>
        <v>OutputValues_7</v>
      </c>
      <c r="K5">
        <f ca="1">INDEX(INDIRECT($J$5),$M$4,1)</f>
        <v>666294210000</v>
      </c>
      <c r="N5" s="61" t="str">
        <f>"OutputValues_"&amp;$N$4</f>
        <v>OutputValues_7</v>
      </c>
      <c r="O5">
        <f ca="1">INDEX(INDIRECT($N$5),1,$Q$4)</f>
        <v>666294210000</v>
      </c>
      <c r="AZ5" t="s">
        <v>156</v>
      </c>
    </row>
    <row r="6" spans="1:52">
      <c r="A6" s="122">
        <v>500000000</v>
      </c>
      <c r="B6" s="64">
        <v>585</v>
      </c>
      <c r="C6" s="72">
        <v>585</v>
      </c>
      <c r="D6" s="72">
        <v>585</v>
      </c>
      <c r="E6" s="72">
        <v>585</v>
      </c>
      <c r="F6" s="72">
        <v>585</v>
      </c>
      <c r="G6" s="72">
        <v>585</v>
      </c>
      <c r="H6" s="133">
        <v>585</v>
      </c>
      <c r="K6" t="str">
        <f ca="1">INDEX(INDIRECT($J$5),$M$4,2)</f>
        <v>Not feasible</v>
      </c>
      <c r="O6">
        <f ca="1">INDEX(INDIRECT($N$5),2,$Q$4)</f>
        <v>666294210000</v>
      </c>
      <c r="AZ6" t="s">
        <v>157</v>
      </c>
    </row>
    <row r="7" spans="1:52">
      <c r="A7" s="122">
        <v>600000000</v>
      </c>
      <c r="B7" s="64">
        <v>585</v>
      </c>
      <c r="C7" s="72">
        <v>585</v>
      </c>
      <c r="D7" s="72">
        <v>585</v>
      </c>
      <c r="E7" s="72">
        <v>585</v>
      </c>
      <c r="F7" s="72">
        <v>585</v>
      </c>
      <c r="G7" s="72">
        <v>585</v>
      </c>
      <c r="H7" s="133">
        <v>585</v>
      </c>
      <c r="K7" t="str">
        <f ca="1">INDEX(INDIRECT($J$5),$M$4,3)</f>
        <v>Not feasible</v>
      </c>
      <c r="O7">
        <f ca="1">INDEX(INDIRECT($N$5),3,$Q$4)</f>
        <v>666294210000</v>
      </c>
      <c r="AZ7" t="s">
        <v>158</v>
      </c>
    </row>
    <row r="8" spans="1:52">
      <c r="A8" s="122">
        <v>700000000</v>
      </c>
      <c r="B8" s="64">
        <v>585</v>
      </c>
      <c r="C8" s="72">
        <v>585</v>
      </c>
      <c r="D8" s="72">
        <v>585</v>
      </c>
      <c r="E8" s="72">
        <v>585</v>
      </c>
      <c r="F8" s="72">
        <v>585</v>
      </c>
      <c r="G8" s="72">
        <v>585</v>
      </c>
      <c r="H8" s="133">
        <v>585</v>
      </c>
      <c r="K8" t="str">
        <f ca="1">INDEX(INDIRECT($J$5),$M$4,4)</f>
        <v>Not feasible</v>
      </c>
      <c r="O8">
        <f ca="1">INDEX(INDIRECT($N$5),4,$Q$4)</f>
        <v>666294210000</v>
      </c>
      <c r="AZ8" t="s">
        <v>54</v>
      </c>
    </row>
    <row r="9" spans="1:52">
      <c r="A9" s="122">
        <v>800000000</v>
      </c>
      <c r="B9" s="64">
        <v>585</v>
      </c>
      <c r="C9" s="72">
        <v>585</v>
      </c>
      <c r="D9" s="72">
        <v>585</v>
      </c>
      <c r="E9" s="72">
        <v>585</v>
      </c>
      <c r="F9" s="72">
        <v>585</v>
      </c>
      <c r="G9" s="72">
        <v>585</v>
      </c>
      <c r="H9" s="133">
        <v>585</v>
      </c>
      <c r="K9" t="str">
        <f ca="1">INDEX(INDIRECT($J$5),$M$4,5)</f>
        <v>Not feasible</v>
      </c>
      <c r="O9">
        <f ca="1">INDEX(INDIRECT($N$5),5,$Q$4)</f>
        <v>666294210000</v>
      </c>
    </row>
    <row r="10" spans="1:52">
      <c r="A10" s="122">
        <v>900000000</v>
      </c>
      <c r="B10" s="64">
        <v>585</v>
      </c>
      <c r="C10" s="72">
        <v>585</v>
      </c>
      <c r="D10" s="72">
        <v>585</v>
      </c>
      <c r="E10" s="72">
        <v>585</v>
      </c>
      <c r="F10" s="72">
        <v>585</v>
      </c>
      <c r="G10" s="72">
        <v>585</v>
      </c>
      <c r="H10" s="133">
        <v>585</v>
      </c>
      <c r="K10" t="str">
        <f ca="1">INDEX(INDIRECT($J$5),$M$4,6)</f>
        <v>Not feasible</v>
      </c>
      <c r="O10">
        <f ca="1">INDEX(INDIRECT($N$5),6,$Q$4)</f>
        <v>666294210000</v>
      </c>
    </row>
    <row r="11" spans="1:52">
      <c r="A11" s="122">
        <v>1000000000</v>
      </c>
      <c r="B11" s="66">
        <v>585</v>
      </c>
      <c r="C11" s="136" t="s">
        <v>159</v>
      </c>
      <c r="D11" s="130">
        <v>585</v>
      </c>
      <c r="E11" s="130">
        <v>585</v>
      </c>
      <c r="F11" s="130">
        <v>585</v>
      </c>
      <c r="G11" s="130">
        <v>585</v>
      </c>
      <c r="H11" s="134">
        <v>585</v>
      </c>
      <c r="K11" t="str">
        <f ca="1">INDEX(INDIRECT($J$5),$M$4,7)</f>
        <v>Not feasible</v>
      </c>
      <c r="O11">
        <f ca="1">INDEX(INDIRECT($N$5),7,$Q$4)</f>
        <v>666294210000</v>
      </c>
    </row>
    <row r="13" spans="1:52">
      <c r="A13" s="123" t="s">
        <v>53</v>
      </c>
      <c r="B13" s="122">
        <v>400000000</v>
      </c>
      <c r="C13" s="122">
        <v>500000000</v>
      </c>
      <c r="D13" s="122">
        <v>600000000</v>
      </c>
      <c r="E13" s="122">
        <v>700000000</v>
      </c>
      <c r="F13" s="122">
        <v>800000000</v>
      </c>
      <c r="G13" s="122">
        <v>900000000</v>
      </c>
      <c r="H13" s="122">
        <v>1000000000</v>
      </c>
    </row>
    <row r="14" spans="1:52">
      <c r="A14" s="122">
        <v>400000000</v>
      </c>
      <c r="B14" s="62">
        <v>0</v>
      </c>
      <c r="C14" s="128" t="s">
        <v>159</v>
      </c>
      <c r="D14" s="128" t="s">
        <v>159</v>
      </c>
      <c r="E14" s="128" t="s">
        <v>159</v>
      </c>
      <c r="F14" s="128" t="s">
        <v>159</v>
      </c>
      <c r="G14" s="128" t="s">
        <v>159</v>
      </c>
      <c r="H14" s="132" t="s">
        <v>159</v>
      </c>
    </row>
    <row r="15" spans="1:52">
      <c r="A15" s="122">
        <v>500000000</v>
      </c>
      <c r="B15" s="64">
        <v>0</v>
      </c>
      <c r="C15" s="72">
        <v>0</v>
      </c>
      <c r="D15" s="72">
        <v>0</v>
      </c>
      <c r="E15" s="72">
        <v>0</v>
      </c>
      <c r="F15" s="72">
        <v>0</v>
      </c>
      <c r="G15" s="72">
        <v>0</v>
      </c>
      <c r="H15" s="133">
        <v>0</v>
      </c>
    </row>
    <row r="16" spans="1:52">
      <c r="A16" s="122">
        <v>600000000</v>
      </c>
      <c r="B16" s="64">
        <v>0</v>
      </c>
      <c r="C16" s="72">
        <v>0</v>
      </c>
      <c r="D16" s="72">
        <v>0</v>
      </c>
      <c r="E16" s="72">
        <v>0</v>
      </c>
      <c r="F16" s="72">
        <v>0</v>
      </c>
      <c r="G16" s="72">
        <v>0</v>
      </c>
      <c r="H16" s="133">
        <v>0</v>
      </c>
    </row>
    <row r="17" spans="1:8">
      <c r="A17" s="122">
        <v>700000000</v>
      </c>
      <c r="B17" s="64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133">
        <v>0</v>
      </c>
    </row>
    <row r="18" spans="1:8">
      <c r="A18" s="122">
        <v>800000000</v>
      </c>
      <c r="B18" s="64">
        <v>0</v>
      </c>
      <c r="C18" s="72">
        <v>0</v>
      </c>
      <c r="D18" s="72">
        <v>0</v>
      </c>
      <c r="E18" s="72">
        <v>0</v>
      </c>
      <c r="F18" s="72">
        <v>0</v>
      </c>
      <c r="G18" s="72">
        <v>0</v>
      </c>
      <c r="H18" s="133">
        <v>0</v>
      </c>
    </row>
    <row r="19" spans="1:8">
      <c r="A19" s="122">
        <v>900000000</v>
      </c>
      <c r="B19" s="64">
        <v>0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133">
        <v>0</v>
      </c>
    </row>
    <row r="20" spans="1:8">
      <c r="A20" s="122">
        <v>1000000000</v>
      </c>
      <c r="B20" s="66">
        <v>0</v>
      </c>
      <c r="C20" s="136" t="s">
        <v>159</v>
      </c>
      <c r="D20" s="130">
        <v>0</v>
      </c>
      <c r="E20" s="130">
        <v>0</v>
      </c>
      <c r="F20" s="130">
        <v>0</v>
      </c>
      <c r="G20" s="130">
        <v>0</v>
      </c>
      <c r="H20" s="134">
        <v>0</v>
      </c>
    </row>
    <row r="22" spans="1:8">
      <c r="A22" s="123" t="s">
        <v>155</v>
      </c>
      <c r="B22" s="122">
        <v>400000000</v>
      </c>
      <c r="C22" s="122">
        <v>500000000</v>
      </c>
      <c r="D22" s="122">
        <v>600000000</v>
      </c>
      <c r="E22" s="122">
        <v>700000000</v>
      </c>
      <c r="F22" s="122">
        <v>800000000</v>
      </c>
      <c r="G22" s="122">
        <v>900000000</v>
      </c>
      <c r="H22" s="122">
        <v>1000000000</v>
      </c>
    </row>
    <row r="23" spans="1:8">
      <c r="A23" s="122">
        <v>400000000</v>
      </c>
      <c r="B23" s="62">
        <v>0</v>
      </c>
      <c r="C23" s="128" t="s">
        <v>159</v>
      </c>
      <c r="D23" s="128" t="s">
        <v>159</v>
      </c>
      <c r="E23" s="128" t="s">
        <v>159</v>
      </c>
      <c r="F23" s="128" t="s">
        <v>159</v>
      </c>
      <c r="G23" s="128" t="s">
        <v>159</v>
      </c>
      <c r="H23" s="132" t="s">
        <v>159</v>
      </c>
    </row>
    <row r="24" spans="1:8">
      <c r="A24" s="122">
        <v>500000000</v>
      </c>
      <c r="B24" s="64">
        <v>0</v>
      </c>
      <c r="C24" s="72">
        <v>0</v>
      </c>
      <c r="D24" s="72">
        <v>0</v>
      </c>
      <c r="E24" s="72">
        <v>0</v>
      </c>
      <c r="F24" s="72">
        <v>0</v>
      </c>
      <c r="G24" s="72">
        <v>0</v>
      </c>
      <c r="H24" s="133">
        <v>0</v>
      </c>
    </row>
    <row r="25" spans="1:8">
      <c r="A25" s="122">
        <v>600000000</v>
      </c>
      <c r="B25" s="64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133">
        <v>0</v>
      </c>
    </row>
    <row r="26" spans="1:8">
      <c r="A26" s="122">
        <v>700000000</v>
      </c>
      <c r="B26" s="64">
        <v>0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133">
        <v>0</v>
      </c>
    </row>
    <row r="27" spans="1:8">
      <c r="A27" s="122">
        <v>800000000</v>
      </c>
      <c r="B27" s="64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133">
        <v>0</v>
      </c>
    </row>
    <row r="28" spans="1:8">
      <c r="A28" s="122">
        <v>900000000</v>
      </c>
      <c r="B28" s="64">
        <v>0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133">
        <v>0</v>
      </c>
    </row>
    <row r="29" spans="1:8">
      <c r="A29" s="122">
        <v>1000000000</v>
      </c>
      <c r="B29" s="66">
        <v>0</v>
      </c>
      <c r="C29" s="136" t="s">
        <v>159</v>
      </c>
      <c r="D29" s="130">
        <v>0</v>
      </c>
      <c r="E29" s="130">
        <v>0</v>
      </c>
      <c r="F29" s="130">
        <v>0</v>
      </c>
      <c r="G29" s="130">
        <v>0</v>
      </c>
      <c r="H29" s="134">
        <v>0</v>
      </c>
    </row>
    <row r="31" spans="1:8">
      <c r="A31" s="123" t="s">
        <v>156</v>
      </c>
      <c r="B31" s="122">
        <v>400000000</v>
      </c>
      <c r="C31" s="122">
        <v>500000000</v>
      </c>
      <c r="D31" s="122">
        <v>600000000</v>
      </c>
      <c r="E31" s="122">
        <v>700000000</v>
      </c>
      <c r="F31" s="122">
        <v>800000000</v>
      </c>
      <c r="G31" s="122">
        <v>900000000</v>
      </c>
      <c r="H31" s="122">
        <v>1000000000</v>
      </c>
    </row>
    <row r="32" spans="1:8">
      <c r="A32" s="122">
        <v>400000000</v>
      </c>
      <c r="B32" s="62">
        <v>1036</v>
      </c>
      <c r="C32" s="128" t="s">
        <v>159</v>
      </c>
      <c r="D32" s="128" t="s">
        <v>159</v>
      </c>
      <c r="E32" s="128" t="s">
        <v>159</v>
      </c>
      <c r="F32" s="128" t="s">
        <v>159</v>
      </c>
      <c r="G32" s="128" t="s">
        <v>159</v>
      </c>
      <c r="H32" s="132" t="s">
        <v>159</v>
      </c>
    </row>
    <row r="33" spans="1:8">
      <c r="A33" s="122">
        <v>500000000</v>
      </c>
      <c r="B33" s="64">
        <v>1036</v>
      </c>
      <c r="C33" s="72">
        <v>1036</v>
      </c>
      <c r="D33" s="72">
        <v>1036</v>
      </c>
      <c r="E33" s="72">
        <v>1036</v>
      </c>
      <c r="F33" s="72">
        <v>1036</v>
      </c>
      <c r="G33" s="72">
        <v>1036</v>
      </c>
      <c r="H33" s="133">
        <v>1036</v>
      </c>
    </row>
    <row r="34" spans="1:8">
      <c r="A34" s="122">
        <v>600000000</v>
      </c>
      <c r="B34" s="64">
        <v>1036</v>
      </c>
      <c r="C34" s="72">
        <v>1036</v>
      </c>
      <c r="D34" s="72">
        <v>1036</v>
      </c>
      <c r="E34" s="72">
        <v>1036</v>
      </c>
      <c r="F34" s="72">
        <v>1036</v>
      </c>
      <c r="G34" s="72">
        <v>1036</v>
      </c>
      <c r="H34" s="133">
        <v>1036</v>
      </c>
    </row>
    <row r="35" spans="1:8">
      <c r="A35" s="122">
        <v>700000000</v>
      </c>
      <c r="B35" s="64">
        <v>1036</v>
      </c>
      <c r="C35" s="72">
        <v>1036</v>
      </c>
      <c r="D35" s="72">
        <v>1036</v>
      </c>
      <c r="E35" s="72">
        <v>1036</v>
      </c>
      <c r="F35" s="72">
        <v>1036</v>
      </c>
      <c r="G35" s="72">
        <v>1036</v>
      </c>
      <c r="H35" s="133">
        <v>1036</v>
      </c>
    </row>
    <row r="36" spans="1:8">
      <c r="A36" s="122">
        <v>800000000</v>
      </c>
      <c r="B36" s="64">
        <v>1036</v>
      </c>
      <c r="C36" s="72">
        <v>1036</v>
      </c>
      <c r="D36" s="72">
        <v>1036</v>
      </c>
      <c r="E36" s="72">
        <v>1036</v>
      </c>
      <c r="F36" s="72">
        <v>1036</v>
      </c>
      <c r="G36" s="72">
        <v>1036</v>
      </c>
      <c r="H36" s="133">
        <v>1036</v>
      </c>
    </row>
    <row r="37" spans="1:8">
      <c r="A37" s="122">
        <v>900000000</v>
      </c>
      <c r="B37" s="64">
        <v>1036</v>
      </c>
      <c r="C37" s="72">
        <v>1036</v>
      </c>
      <c r="D37" s="72">
        <v>1036</v>
      </c>
      <c r="E37" s="72">
        <v>1036</v>
      </c>
      <c r="F37" s="72">
        <v>1036</v>
      </c>
      <c r="G37" s="72">
        <v>1036</v>
      </c>
      <c r="H37" s="133">
        <v>1036</v>
      </c>
    </row>
    <row r="38" spans="1:8">
      <c r="A38" s="122">
        <v>1000000000</v>
      </c>
      <c r="B38" s="66">
        <v>1036</v>
      </c>
      <c r="C38" s="136" t="s">
        <v>159</v>
      </c>
      <c r="D38" s="130">
        <v>1036</v>
      </c>
      <c r="E38" s="130">
        <v>1036</v>
      </c>
      <c r="F38" s="130">
        <v>1036</v>
      </c>
      <c r="G38" s="130">
        <v>1036</v>
      </c>
      <c r="H38" s="134">
        <v>1036</v>
      </c>
    </row>
    <row r="40" spans="1:8">
      <c r="A40" s="123" t="s">
        <v>157</v>
      </c>
      <c r="B40" s="122">
        <v>400000000</v>
      </c>
      <c r="C40" s="122">
        <v>500000000</v>
      </c>
      <c r="D40" s="122">
        <v>600000000</v>
      </c>
      <c r="E40" s="122">
        <v>700000000</v>
      </c>
      <c r="F40" s="122">
        <v>800000000</v>
      </c>
      <c r="G40" s="122">
        <v>900000000</v>
      </c>
      <c r="H40" s="122">
        <v>1000000000</v>
      </c>
    </row>
    <row r="41" spans="1:8">
      <c r="A41" s="122">
        <v>400000000</v>
      </c>
      <c r="B41" s="62">
        <v>7</v>
      </c>
      <c r="C41" s="128" t="s">
        <v>159</v>
      </c>
      <c r="D41" s="128" t="s">
        <v>159</v>
      </c>
      <c r="E41" s="128" t="s">
        <v>159</v>
      </c>
      <c r="F41" s="128" t="s">
        <v>159</v>
      </c>
      <c r="G41" s="128" t="s">
        <v>159</v>
      </c>
      <c r="H41" s="132" t="s">
        <v>159</v>
      </c>
    </row>
    <row r="42" spans="1:8">
      <c r="A42" s="122">
        <v>500000000</v>
      </c>
      <c r="B42" s="64">
        <v>7</v>
      </c>
      <c r="C42" s="72">
        <v>7</v>
      </c>
      <c r="D42" s="72">
        <v>7</v>
      </c>
      <c r="E42" s="72">
        <v>7</v>
      </c>
      <c r="F42" s="72">
        <v>7</v>
      </c>
      <c r="G42" s="72">
        <v>7</v>
      </c>
      <c r="H42" s="133">
        <v>7</v>
      </c>
    </row>
    <row r="43" spans="1:8">
      <c r="A43" s="122">
        <v>600000000</v>
      </c>
      <c r="B43" s="64">
        <v>7</v>
      </c>
      <c r="C43" s="72">
        <v>7</v>
      </c>
      <c r="D43" s="72">
        <v>7</v>
      </c>
      <c r="E43" s="72">
        <v>7</v>
      </c>
      <c r="F43" s="72">
        <v>7</v>
      </c>
      <c r="G43" s="72">
        <v>7</v>
      </c>
      <c r="H43" s="133">
        <v>7</v>
      </c>
    </row>
    <row r="44" spans="1:8">
      <c r="A44" s="122">
        <v>700000000</v>
      </c>
      <c r="B44" s="64">
        <v>7</v>
      </c>
      <c r="C44" s="72">
        <v>7</v>
      </c>
      <c r="D44" s="72">
        <v>7</v>
      </c>
      <c r="E44" s="72">
        <v>7</v>
      </c>
      <c r="F44" s="72">
        <v>7</v>
      </c>
      <c r="G44" s="72">
        <v>7</v>
      </c>
      <c r="H44" s="133">
        <v>7</v>
      </c>
    </row>
    <row r="45" spans="1:8">
      <c r="A45" s="122">
        <v>800000000</v>
      </c>
      <c r="B45" s="64">
        <v>7</v>
      </c>
      <c r="C45" s="72">
        <v>7</v>
      </c>
      <c r="D45" s="72">
        <v>7</v>
      </c>
      <c r="E45" s="72">
        <v>7</v>
      </c>
      <c r="F45" s="72">
        <v>7</v>
      </c>
      <c r="G45" s="72">
        <v>7</v>
      </c>
      <c r="H45" s="133">
        <v>7</v>
      </c>
    </row>
    <row r="46" spans="1:8">
      <c r="A46" s="122">
        <v>900000000</v>
      </c>
      <c r="B46" s="64">
        <v>7</v>
      </c>
      <c r="C46" s="72">
        <v>7</v>
      </c>
      <c r="D46" s="72">
        <v>7</v>
      </c>
      <c r="E46" s="72">
        <v>7</v>
      </c>
      <c r="F46" s="72">
        <v>7</v>
      </c>
      <c r="G46" s="72">
        <v>7</v>
      </c>
      <c r="H46" s="133">
        <v>7</v>
      </c>
    </row>
    <row r="47" spans="1:8">
      <c r="A47" s="122">
        <v>1000000000</v>
      </c>
      <c r="B47" s="66">
        <v>7</v>
      </c>
      <c r="C47" s="136" t="s">
        <v>159</v>
      </c>
      <c r="D47" s="130">
        <v>7</v>
      </c>
      <c r="E47" s="130">
        <v>7</v>
      </c>
      <c r="F47" s="130">
        <v>7</v>
      </c>
      <c r="G47" s="130">
        <v>7</v>
      </c>
      <c r="H47" s="134">
        <v>7</v>
      </c>
    </row>
    <row r="49" spans="1:8">
      <c r="A49" s="123" t="s">
        <v>158</v>
      </c>
      <c r="B49" s="122">
        <v>400000000</v>
      </c>
      <c r="C49" s="122">
        <v>500000000</v>
      </c>
      <c r="D49" s="122">
        <v>600000000</v>
      </c>
      <c r="E49" s="122">
        <v>700000000</v>
      </c>
      <c r="F49" s="122">
        <v>800000000</v>
      </c>
      <c r="G49" s="122">
        <v>900000000</v>
      </c>
      <c r="H49" s="122">
        <v>1000000000</v>
      </c>
    </row>
    <row r="50" spans="1:8">
      <c r="A50" s="122">
        <v>400000000</v>
      </c>
      <c r="B50" s="62">
        <v>22436</v>
      </c>
      <c r="C50" s="128" t="s">
        <v>159</v>
      </c>
      <c r="D50" s="128" t="s">
        <v>159</v>
      </c>
      <c r="E50" s="128" t="s">
        <v>159</v>
      </c>
      <c r="F50" s="128" t="s">
        <v>159</v>
      </c>
      <c r="G50" s="128" t="s">
        <v>159</v>
      </c>
      <c r="H50" s="132" t="s">
        <v>159</v>
      </c>
    </row>
    <row r="51" spans="1:8">
      <c r="A51" s="122">
        <v>500000000</v>
      </c>
      <c r="B51" s="64">
        <v>22436</v>
      </c>
      <c r="C51" s="72">
        <v>22436</v>
      </c>
      <c r="D51" s="72">
        <v>22436</v>
      </c>
      <c r="E51" s="72">
        <v>22436</v>
      </c>
      <c r="F51" s="72">
        <v>22436</v>
      </c>
      <c r="G51" s="72">
        <v>22436</v>
      </c>
      <c r="H51" s="133">
        <v>22436</v>
      </c>
    </row>
    <row r="52" spans="1:8">
      <c r="A52" s="122">
        <v>600000000</v>
      </c>
      <c r="B52" s="64">
        <v>22436</v>
      </c>
      <c r="C52" s="72">
        <v>22436</v>
      </c>
      <c r="D52" s="72">
        <v>22436</v>
      </c>
      <c r="E52" s="72">
        <v>22436</v>
      </c>
      <c r="F52" s="72">
        <v>22436</v>
      </c>
      <c r="G52" s="72">
        <v>22436</v>
      </c>
      <c r="H52" s="133">
        <v>22436</v>
      </c>
    </row>
    <row r="53" spans="1:8">
      <c r="A53" s="122">
        <v>700000000</v>
      </c>
      <c r="B53" s="64">
        <v>22436</v>
      </c>
      <c r="C53" s="72">
        <v>22436</v>
      </c>
      <c r="D53" s="72">
        <v>22436</v>
      </c>
      <c r="E53" s="72">
        <v>22436</v>
      </c>
      <c r="F53" s="72">
        <v>22436</v>
      </c>
      <c r="G53" s="72">
        <v>22436</v>
      </c>
      <c r="H53" s="133">
        <v>22436</v>
      </c>
    </row>
    <row r="54" spans="1:8">
      <c r="A54" s="122">
        <v>800000000</v>
      </c>
      <c r="B54" s="64">
        <v>22436</v>
      </c>
      <c r="C54" s="72">
        <v>22436</v>
      </c>
      <c r="D54" s="72">
        <v>22436</v>
      </c>
      <c r="E54" s="72">
        <v>22436</v>
      </c>
      <c r="F54" s="72">
        <v>22436</v>
      </c>
      <c r="G54" s="72">
        <v>22436</v>
      </c>
      <c r="H54" s="133">
        <v>22436</v>
      </c>
    </row>
    <row r="55" spans="1:8">
      <c r="A55" s="122">
        <v>900000000</v>
      </c>
      <c r="B55" s="64">
        <v>22436</v>
      </c>
      <c r="C55" s="72">
        <v>22436</v>
      </c>
      <c r="D55" s="72">
        <v>22436</v>
      </c>
      <c r="E55" s="72">
        <v>22436</v>
      </c>
      <c r="F55" s="72">
        <v>22436</v>
      </c>
      <c r="G55" s="72">
        <v>22436</v>
      </c>
      <c r="H55" s="133">
        <v>22436</v>
      </c>
    </row>
    <row r="56" spans="1:8">
      <c r="A56" s="122">
        <v>1000000000</v>
      </c>
      <c r="B56" s="66">
        <v>22436</v>
      </c>
      <c r="C56" s="136" t="s">
        <v>159</v>
      </c>
      <c r="D56" s="130">
        <v>22436</v>
      </c>
      <c r="E56" s="130">
        <v>22436</v>
      </c>
      <c r="F56" s="130">
        <v>22436</v>
      </c>
      <c r="G56" s="130">
        <v>22436</v>
      </c>
      <c r="H56" s="134">
        <v>22436</v>
      </c>
    </row>
    <row r="58" spans="1:8">
      <c r="A58" s="123" t="s">
        <v>54</v>
      </c>
      <c r="B58" s="122">
        <v>400000000</v>
      </c>
      <c r="C58" s="122">
        <v>500000000</v>
      </c>
      <c r="D58" s="122">
        <v>600000000</v>
      </c>
      <c r="E58" s="122">
        <v>700000000</v>
      </c>
      <c r="F58" s="122">
        <v>800000000</v>
      </c>
      <c r="G58" s="122">
        <v>900000000</v>
      </c>
      <c r="H58" s="122">
        <v>1000000000</v>
      </c>
    </row>
    <row r="59" spans="1:8">
      <c r="A59" s="122">
        <v>400000000</v>
      </c>
      <c r="B59" s="125">
        <v>666294210000</v>
      </c>
      <c r="C59" s="128" t="s">
        <v>159</v>
      </c>
      <c r="D59" s="128" t="s">
        <v>159</v>
      </c>
      <c r="E59" s="128" t="s">
        <v>159</v>
      </c>
      <c r="F59" s="128" t="s">
        <v>159</v>
      </c>
      <c r="G59" s="128" t="s">
        <v>159</v>
      </c>
      <c r="H59" s="132" t="s">
        <v>159</v>
      </c>
    </row>
    <row r="60" spans="1:8">
      <c r="A60" s="122">
        <v>500000000</v>
      </c>
      <c r="B60" s="126">
        <v>666294210000</v>
      </c>
      <c r="C60" s="129">
        <v>666294210000</v>
      </c>
      <c r="D60" s="129">
        <v>666294210000</v>
      </c>
      <c r="E60" s="129">
        <v>666294210000</v>
      </c>
      <c r="F60" s="129">
        <v>666294210000</v>
      </c>
      <c r="G60" s="129">
        <v>666294210000</v>
      </c>
      <c r="H60" s="73">
        <v>666294210000</v>
      </c>
    </row>
    <row r="61" spans="1:8">
      <c r="A61" s="122">
        <v>600000000</v>
      </c>
      <c r="B61" s="126">
        <v>666294210000</v>
      </c>
      <c r="C61" s="129">
        <v>666294210000</v>
      </c>
      <c r="D61" s="129">
        <v>666294210000</v>
      </c>
      <c r="E61" s="129">
        <v>666294210000</v>
      </c>
      <c r="F61" s="129">
        <v>666294210000</v>
      </c>
      <c r="G61" s="129">
        <v>666294210000</v>
      </c>
      <c r="H61" s="73">
        <v>666294210000</v>
      </c>
    </row>
    <row r="62" spans="1:8">
      <c r="A62" s="122">
        <v>700000000</v>
      </c>
      <c r="B62" s="126">
        <v>666294210000</v>
      </c>
      <c r="C62" s="129">
        <v>666294210000</v>
      </c>
      <c r="D62" s="129">
        <v>666294210000</v>
      </c>
      <c r="E62" s="129">
        <v>666294210000</v>
      </c>
      <c r="F62" s="129">
        <v>666294210000</v>
      </c>
      <c r="G62" s="129">
        <v>666294210000</v>
      </c>
      <c r="H62" s="73">
        <v>666294210000</v>
      </c>
    </row>
    <row r="63" spans="1:8">
      <c r="A63" s="122">
        <v>800000000</v>
      </c>
      <c r="B63" s="126">
        <v>666294210000</v>
      </c>
      <c r="C63" s="129">
        <v>666294210000</v>
      </c>
      <c r="D63" s="129">
        <v>666294210000</v>
      </c>
      <c r="E63" s="129">
        <v>666294210000</v>
      </c>
      <c r="F63" s="129">
        <v>666294210000</v>
      </c>
      <c r="G63" s="129">
        <v>666294210000</v>
      </c>
      <c r="H63" s="73">
        <v>666294210000</v>
      </c>
    </row>
    <row r="64" spans="1:8">
      <c r="A64" s="122">
        <v>900000000</v>
      </c>
      <c r="B64" s="126">
        <v>666294210000</v>
      </c>
      <c r="C64" s="129">
        <v>666294210000</v>
      </c>
      <c r="D64" s="129">
        <v>666294210000</v>
      </c>
      <c r="E64" s="129">
        <v>666294210000</v>
      </c>
      <c r="F64" s="129">
        <v>666294210000</v>
      </c>
      <c r="G64" s="129">
        <v>666294210000</v>
      </c>
      <c r="H64" s="73">
        <v>666294210000</v>
      </c>
    </row>
    <row r="65" spans="1:8">
      <c r="A65" s="122">
        <v>1000000000</v>
      </c>
      <c r="B65" s="127">
        <v>666294210000</v>
      </c>
      <c r="C65" s="136" t="s">
        <v>159</v>
      </c>
      <c r="D65" s="131">
        <v>666294210000</v>
      </c>
      <c r="E65" s="131">
        <v>666294210000</v>
      </c>
      <c r="F65" s="131">
        <v>666294210000</v>
      </c>
      <c r="G65" s="131">
        <v>666294210000</v>
      </c>
      <c r="H65" s="135">
        <v>666294210000</v>
      </c>
    </row>
  </sheetData>
  <dataValidations count="3">
    <dataValidation type="list" allowBlank="1" showInputMessage="1" showErrorMessage="1" sqref="K4 O4" xr:uid="{1BD77B30-1018-49A5-8E44-927E70E0F889}">
      <formula1>OutputAddresses</formula1>
    </dataValidation>
    <dataValidation type="list" allowBlank="1" showInputMessage="1" showErrorMessage="1" sqref="L4" xr:uid="{14224396-6F56-433D-AF1F-2F7467349628}">
      <formula1>InputValues1</formula1>
    </dataValidation>
    <dataValidation type="list" allowBlank="1" showInputMessage="1" showErrorMessage="1" sqref="P4" xr:uid="{4EDB0F2B-315C-4305-98CB-9FB62104CDEF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Pepsi Ad Mathematical Model</vt:lpstr>
      <vt:lpstr>Digital Ad Mathematical Model</vt:lpstr>
      <vt:lpstr>Pepsi Advertising Model</vt:lpstr>
      <vt:lpstr>Pepsic Digital Marketing</vt:lpstr>
      <vt:lpstr>OneWaySensitivity-Digital</vt:lpstr>
      <vt:lpstr>OneWaySensitivity-Advertising</vt:lpstr>
      <vt:lpstr>TwoWaySensitivity-Advertising</vt:lpstr>
      <vt:lpstr>'OneWaySensitivity-Advertising'!ChartData</vt:lpstr>
      <vt:lpstr>'OneWaySensitivity-Digital'!ChartData</vt:lpstr>
      <vt:lpstr>'TwoWaySensitivity-Advertising'!ChartData1</vt:lpstr>
      <vt:lpstr>'TwoWaySensitivity-Advertising'!ChartData2</vt:lpstr>
      <vt:lpstr>'OneWaySensitivity-Advertising'!InputValues</vt:lpstr>
      <vt:lpstr>'OneWaySensitivity-Digital'!InputValues</vt:lpstr>
      <vt:lpstr>'TwoWaySensitivity-Advertising'!InputValues1</vt:lpstr>
      <vt:lpstr>'TwoWaySensitivity-Advertising'!InputValues2</vt:lpstr>
      <vt:lpstr>'OneWaySensitivity-Advertising'!OutputAddresses</vt:lpstr>
      <vt:lpstr>'OneWaySensitivity-Digital'!OutputAddresses</vt:lpstr>
      <vt:lpstr>'TwoWaySensitivity-Advertising'!OutputAddresses</vt:lpstr>
      <vt:lpstr>'OneWaySensitivity-Advertising'!OutputValues</vt:lpstr>
      <vt:lpstr>'OneWaySensitivity-Digital'!OutputValues</vt:lpstr>
      <vt:lpstr>'TwoWaySensitivity-Advertising'!OutputValues_1</vt:lpstr>
      <vt:lpstr>'TwoWaySensitivity-Advertising'!OutputValues_2</vt:lpstr>
      <vt:lpstr>'TwoWaySensitivity-Advertising'!OutputValues_3</vt:lpstr>
      <vt:lpstr>'TwoWaySensitivity-Advertising'!OutputValues_4</vt:lpstr>
      <vt:lpstr>'TwoWaySensitivity-Advertising'!OutputValues_5</vt:lpstr>
      <vt:lpstr>'TwoWaySensitivity-Advertising'!OutputValues_6</vt:lpstr>
      <vt:lpstr>'TwoWaySensitivity-Advertising'!OutputValues_7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shrichandani</dc:creator>
  <cp:lastModifiedBy>Gyati Mittal</cp:lastModifiedBy>
  <dcterms:created xsi:type="dcterms:W3CDTF">2020-05-06T03:50:26Z</dcterms:created>
  <dcterms:modified xsi:type="dcterms:W3CDTF">2020-05-10T00:26:50Z</dcterms:modified>
</cp:coreProperties>
</file>