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3-Scenario 1" sheetId="1" r:id="rId4"/>
    <sheet state="visible" name="Q3-Scenario 2" sheetId="2" r:id="rId5"/>
    <sheet state="visible" name="Q4-What_if" sheetId="3" r:id="rId6"/>
    <sheet state="visible" name="Q5-LogisticsNetwork" sheetId="4" r:id="rId7"/>
  </sheets>
  <externalReferences>
    <externalReference r:id="rId8"/>
  </externalReferences>
  <definedNames>
    <definedName name="Comp">'[1]Performance Charts'!$B$10</definedName>
    <definedName name="Current">'[1]Performance Charts'!$C$10</definedName>
    <definedName localSheetId="0" name="solver_adj">'Scenario 1'!$I$11:$J$13,'Scenario 1'!$C$18:$G$18</definedName>
    <definedName localSheetId="1" name="solver_adj">'Scenario 2'!$H$11:$I$13,'Scenario 2'!$C$18:$F$18</definedName>
    <definedName localSheetId="2" name="solver_adj">'Scenario 2.1'!$H$11:$I$13,'Scenario 2.1'!$C$18:$F$18</definedName>
    <definedName localSheetId="3" name="solver_cvg">0.0001</definedName>
    <definedName localSheetId="0" name="solver_cvg">0.0001</definedName>
    <definedName localSheetId="1" name="solver_cvg">0.0001</definedName>
    <definedName localSheetId="2" name="solver_cvg">0.0001</definedName>
    <definedName localSheetId="3" name="solver_drv">2</definedName>
    <definedName localSheetId="0" name="solver_drv">1</definedName>
    <definedName localSheetId="1" name="solver_drv">1</definedName>
    <definedName localSheetId="2" name="solver_drv">1</definedName>
    <definedName localSheetId="3" name="solver_eng">2</definedName>
    <definedName localSheetId="0" name="solver_eng">2</definedName>
    <definedName localSheetId="1" name="solver_eng">2</definedName>
    <definedName localSheetId="2" name="solver_eng">2</definedName>
    <definedName localSheetId="3" name="solver_est">1</definedName>
    <definedName localSheetId="0" name="solver_est">1</definedName>
    <definedName localSheetId="1" name="solver_est">1</definedName>
    <definedName localSheetId="2" name="solver_est">1</definedName>
    <definedName localSheetId="3" name="solver_itr">2147483647</definedName>
    <definedName localSheetId="0" name="solver_itr">2147483647</definedName>
    <definedName localSheetId="1" name="solver_itr">2147483647</definedName>
    <definedName localSheetId="2" name="solver_itr">2147483647</definedName>
    <definedName localSheetId="1" name="solver_lhs5">'Scenario 2'!#REF!</definedName>
    <definedName localSheetId="2" name="solver_lhs5">'Scenario 2.1'!#REF!</definedName>
    <definedName localSheetId="1" name="solver_lhs6">'Scenario 2'!#REF!</definedName>
    <definedName localSheetId="2" name="solver_lhs6">'Scenario 2.1'!#REF!</definedName>
    <definedName localSheetId="0" name="solver_lhs7">'Scenario 1'!#REF!</definedName>
    <definedName localSheetId="1" name="solver_lhs7">'Scenario 2'!#REF!</definedName>
    <definedName localSheetId="2" name="solver_lhs7">'Scenario 2.1'!#REF!</definedName>
    <definedName localSheetId="3" name="solver_mip">2147483647</definedName>
    <definedName localSheetId="0" name="solver_mip">2147483647</definedName>
    <definedName localSheetId="1" name="solver_mip">2147483647</definedName>
    <definedName localSheetId="2" name="solver_mip">2147483647</definedName>
    <definedName localSheetId="3" name="solver_mni">30</definedName>
    <definedName localSheetId="0" name="solver_mni">30</definedName>
    <definedName localSheetId="1" name="solver_mni">30</definedName>
    <definedName localSheetId="2" name="solver_mni">30</definedName>
    <definedName localSheetId="3" name="solver_mrt">0.075</definedName>
    <definedName localSheetId="0" name="solver_mrt">0.075</definedName>
    <definedName localSheetId="1" name="solver_mrt">0.075</definedName>
    <definedName localSheetId="2" name="solver_mrt">0.075</definedName>
    <definedName localSheetId="3" name="solver_msl">2</definedName>
    <definedName localSheetId="0" name="solver_msl">2</definedName>
    <definedName localSheetId="1" name="solver_msl">2</definedName>
    <definedName localSheetId="2" name="solver_msl">2</definedName>
    <definedName localSheetId="3" name="solver_neg">1</definedName>
    <definedName localSheetId="0" name="solver_neg">1</definedName>
    <definedName localSheetId="1" name="solver_neg">1</definedName>
    <definedName localSheetId="2" name="solver_neg">1</definedName>
    <definedName localSheetId="3" name="solver_nod">2147483647</definedName>
    <definedName localSheetId="0" name="solver_nod">2147483647</definedName>
    <definedName localSheetId="1" name="solver_nod">2147483647</definedName>
    <definedName localSheetId="2" name="solver_nod">2147483647</definedName>
    <definedName localSheetId="3" name="solver_num">2</definedName>
    <definedName localSheetId="0" name="solver_num">4</definedName>
    <definedName localSheetId="1" name="solver_num">4</definedName>
    <definedName localSheetId="2" name="solver_num">4</definedName>
    <definedName localSheetId="3" name="solver_nwt">1</definedName>
    <definedName localSheetId="0" name="solver_nwt">1</definedName>
    <definedName localSheetId="1" name="solver_nwt">1</definedName>
    <definedName localSheetId="2" name="solver_nwt">1</definedName>
    <definedName localSheetId="3" name="solver_pre">0.000001</definedName>
    <definedName localSheetId="0" name="solver_pre">0.000001</definedName>
    <definedName localSheetId="1" name="solver_pre">0.000001</definedName>
    <definedName localSheetId="2" name="solver_pre">0.000001</definedName>
    <definedName localSheetId="3" name="solver_rbv">2</definedName>
    <definedName localSheetId="0" name="solver_rbv">1</definedName>
    <definedName localSheetId="1" name="solver_rbv">1</definedName>
    <definedName localSheetId="2" name="solver_rbv">1</definedName>
    <definedName localSheetId="3" name="solver_rel1">2</definedName>
    <definedName localSheetId="0" name="solver_rel1">2</definedName>
    <definedName localSheetId="1" name="solver_rel1">2</definedName>
    <definedName localSheetId="2" name="solver_rel1">2</definedName>
    <definedName localSheetId="3" name="solver_rel2">1</definedName>
    <definedName localSheetId="0" name="solver_rel2">2</definedName>
    <definedName localSheetId="1" name="solver_rel2">2</definedName>
    <definedName localSheetId="2" name="solver_rel2">2</definedName>
    <definedName localSheetId="3" name="solver_rel3">4</definedName>
    <definedName localSheetId="0" name="solver_rel3">1</definedName>
    <definedName localSheetId="1" name="solver_rel3">1</definedName>
    <definedName localSheetId="2" name="solver_rel3">1</definedName>
    <definedName localSheetId="0" name="solver_rel4">4</definedName>
    <definedName localSheetId="1" name="solver_rel4">4</definedName>
    <definedName localSheetId="2" name="solver_rel4">4</definedName>
    <definedName localSheetId="0" name="solver_rel5">3</definedName>
    <definedName localSheetId="1" name="solver_rel5">5</definedName>
    <definedName localSheetId="2" name="solver_rel5">5</definedName>
    <definedName localSheetId="0" name="solver_rel6">3</definedName>
    <definedName localSheetId="1" name="solver_rel6">1</definedName>
    <definedName localSheetId="2" name="solver_rel6">1</definedName>
    <definedName localSheetId="0" name="solver_rel7">1</definedName>
    <definedName localSheetId="1" name="solver_rel7">1</definedName>
    <definedName localSheetId="2" name="solver_rel7">1</definedName>
    <definedName localSheetId="3" name="solver_rhs1">Net_flow_Required</definedName>
    <definedName localSheetId="3" name="solver_rhs2">Capacity</definedName>
    <definedName localSheetId="3" name="solver_rhs3">"integer"</definedName>
    <definedName localSheetId="1" name="solver_rhs3">Vault_Capacity</definedName>
    <definedName localSheetId="0" name="solver_rhs4">"integer"</definedName>
    <definedName localSheetId="1" name="solver_rhs4">"integer"</definedName>
    <definedName localSheetId="2" name="solver_rhs4">"integer"</definedName>
    <definedName localSheetId="1" name="solver_rhs5">"binary"</definedName>
    <definedName localSheetId="2" name="solver_rhs5">"binary"</definedName>
    <definedName localSheetId="1" name="solver_rhs6">'Scenario 2'!#REF!</definedName>
    <definedName localSheetId="2" name="solver_rhs6">'Scenario 2.1'!#REF!</definedName>
    <definedName localSheetId="0" name="solver_rhs7">'Scenario 1'!#REF!</definedName>
    <definedName localSheetId="1" name="solver_rhs7">'Scenario 2'!#REF!</definedName>
    <definedName localSheetId="2" name="solver_rhs7">'Scenario 2.1'!#REF!</definedName>
    <definedName localSheetId="3" name="solver_rlx">2</definedName>
    <definedName localSheetId="0" name="solver_rlx">2</definedName>
    <definedName localSheetId="1" name="solver_rlx">2</definedName>
    <definedName localSheetId="2" name="solver_rlx">2</definedName>
    <definedName localSheetId="3" name="solver_rsd">0</definedName>
    <definedName localSheetId="0" name="solver_rsd">0</definedName>
    <definedName localSheetId="1" name="solver_rsd">0</definedName>
    <definedName localSheetId="2" name="solver_rsd">0</definedName>
    <definedName localSheetId="3" name="solver_scl">2</definedName>
    <definedName localSheetId="0" name="solver_scl">1</definedName>
    <definedName localSheetId="1" name="solver_scl">1</definedName>
    <definedName localSheetId="2" name="solver_scl">1</definedName>
    <definedName localSheetId="3" name="solver_sho">2</definedName>
    <definedName localSheetId="0" name="solver_sho">2</definedName>
    <definedName localSheetId="1" name="solver_sho">2</definedName>
    <definedName localSheetId="2" name="solver_sho">2</definedName>
    <definedName localSheetId="3" name="solver_ssz">100</definedName>
    <definedName localSheetId="0" name="solver_ssz">100</definedName>
    <definedName localSheetId="1" name="solver_ssz">100</definedName>
    <definedName localSheetId="2" name="solver_ssz">100</definedName>
    <definedName localSheetId="3" name="solver_tim">2147483647</definedName>
    <definedName localSheetId="0" name="solver_tim">2147483647</definedName>
    <definedName localSheetId="1" name="solver_tim">2147483647</definedName>
    <definedName localSheetId="2" name="solver_tim">2147483647</definedName>
    <definedName localSheetId="3" name="solver_tol">0.01</definedName>
    <definedName localSheetId="0" name="solver_tol">0.01</definedName>
    <definedName localSheetId="1" name="solver_tol">0.01</definedName>
    <definedName localSheetId="2" name="solver_tol">0.01</definedName>
    <definedName localSheetId="3" name="solver_typ">2</definedName>
    <definedName localSheetId="0" name="solver_typ">2</definedName>
    <definedName localSheetId="1" name="solver_typ">2</definedName>
    <definedName localSheetId="2" name="solver_typ">2</definedName>
    <definedName localSheetId="3" name="solver_val">0</definedName>
    <definedName localSheetId="0" name="solver_val">0</definedName>
    <definedName localSheetId="1" name="solver_val">0</definedName>
    <definedName localSheetId="2" name="solver_val">0</definedName>
    <definedName localSheetId="3" name="solver_ver">3</definedName>
    <definedName localSheetId="0" name="solver_ver">3</definedName>
    <definedName localSheetId="1" name="solver_ver">3</definedName>
    <definedName localSheetId="2" name="solver_ver">3</definedName>
    <definedName localSheetId="1" name="Deviation">'Q3-Scenario 2'!$H$11:$I$13</definedName>
    <definedName localSheetId="3" name="solver_lhs3">'Q5-LogisticsNetwork'!$D$5:$D$20</definedName>
    <definedName localSheetId="0" name="solver_lhs5">'Q3-Scenario 1'!$C$18:$G$18</definedName>
    <definedName localSheetId="3" name="solver_lhs2">'Q5-LogisticsNetwork'!$D$5:$D$20</definedName>
    <definedName localSheetId="1" name="solver_lhs4">'Q3-Scenario 2'!$C$18:$F$18</definedName>
    <definedName name="A.3">#REF!</definedName>
    <definedName name="Exceptions">#REF!</definedName>
    <definedName name="B.1.8">#REF!</definedName>
    <definedName name="C.7">#REF!</definedName>
    <definedName localSheetId="2" name="Vault_Capacity">'Q4-What_if'!$C$20:$F$20</definedName>
    <definedName name="B1.1_B1.2">#REF!</definedName>
    <definedName localSheetId="2" name="solver_lhs4">'Q4-What_if'!$C$18:$F$18</definedName>
    <definedName name="B.1.5">#REF!</definedName>
    <definedName name="C.4">#REF!</definedName>
    <definedName localSheetId="1" name="solver_rhs2">'Q3-Scenario 2'!$L$11:$L$13</definedName>
    <definedName name="B1.3">#REF!</definedName>
    <definedName localSheetId="2" name="solver_rhs3">'Q4-What_if'!$C$20:$F$20</definedName>
    <definedName name="B.5.">#REF!</definedName>
    <definedName name="C.8">#REF!</definedName>
    <definedName name="Net_flow_Required">'Q5-LogisticsNetwork'!$L$5:$L$14</definedName>
    <definedName localSheetId="0" name="solver_rhs5">'Q3-Scenario 1'!$C$22:$G$22</definedName>
    <definedName name="B1.7">#REF!</definedName>
    <definedName name="To">'Q5-LogisticsNetwork'!$C$5:$C$20</definedName>
    <definedName name="Delivery_Capability">#REF!</definedName>
    <definedName localSheetId="0" name="solver_rhs2">'Q3-Scenario 1'!$M$11:$M$13</definedName>
    <definedName localSheetId="1" name="Pallet_Allottment">'Q3-Scenario 2'!$C$18:$F$18</definedName>
    <definedName name="C.">#REF!</definedName>
    <definedName localSheetId="2" name="solver_lhs1">'Q4-What_if'!$G$18</definedName>
    <definedName localSheetId="0" name="solver_opt">#REF!</definedName>
    <definedName name="F.1">#REF!</definedName>
    <definedName name="A.1.">#REF!</definedName>
    <definedName name="A.5">#REF!</definedName>
    <definedName localSheetId="3" name="solver_lhs1">'Q5-LogisticsNetwork'!$J$5:$J$14</definedName>
    <definedName name="sdcs">#REF!</definedName>
    <definedName localSheetId="2" name="solver_rhs1">'Q4-What_if'!$I$18</definedName>
    <definedName localSheetId="0" name="solver_lhs1">'Q3-Scenario 1'!$H$18</definedName>
    <definedName name="Vault_Capacity">'Q3-Scenario 2'!$C$20:$F$20</definedName>
    <definedName name="Capacity">'Q5-LogisticsNetwork'!$F$5:$F$20</definedName>
    <definedName name="B.1.7">#REF!</definedName>
    <definedName name="B.2.1">#REF!</definedName>
    <definedName name="C.6">#REF!</definedName>
    <definedName name="C.5">#REF!</definedName>
    <definedName localSheetId="3" name="solver_opt">'Q5-LogisticsNetwork'!$J$19</definedName>
    <definedName name="Nodes">'Q5-LogisticsNetwork'!$I$5:$I$14</definedName>
    <definedName name="A.5.">#REF!</definedName>
    <definedName name="Total_Cost">'Q3-Scenario 1'!$C$11:$G$11</definedName>
    <definedName localSheetId="2" name="Total_Cost">'Q4-What_if'!$C$11:$F$11</definedName>
    <definedName localSheetId="2" name="Deviation">'Q4-What_if'!$H$11:$I$13</definedName>
    <definedName name="B.1.1_1.5">#REF!</definedName>
    <definedName name="C.9">#REF!</definedName>
    <definedName localSheetId="2" name="Pallet_Allottment">'Q4-What_if'!$C$18:$F$18</definedName>
    <definedName localSheetId="0" name="solver_lhs2">'Q3-Scenario 1'!$K$11:$K$13</definedName>
    <definedName localSheetId="0" name="solver_lhs6">'Q3-Scenario 1'!$C$18:$G$18</definedName>
    <definedName name="C.1">#REF!</definedName>
    <definedName name="Penalty_Updated">#REF!</definedName>
    <definedName name="B.3">#REF!</definedName>
    <definedName name="D.">#REF!</definedName>
    <definedName name="E.1">#REF!</definedName>
    <definedName localSheetId="1" name="solver_lhs2">'Q3-Scenario 2'!$J$11:$J$13</definedName>
    <definedName localSheetId="3" name="solver_adj">'Q5-LogisticsNetwork'!$D$5:$D$20</definedName>
    <definedName name="A.6">#REF!</definedName>
    <definedName name="B.5">#REF!</definedName>
    <definedName name="C.3">#REF!</definedName>
    <definedName name="From">'Q5-LogisticsNetwork'!$B$5:$B$20</definedName>
    <definedName name="E.3">#REF!</definedName>
    <definedName localSheetId="0" name="solver_lhs3">'Q3-Scenario 1'!$C$18:$G$18</definedName>
    <definedName localSheetId="2" name="solver_lhs3">'Q4-What_if'!$C$18:$F$18</definedName>
    <definedName localSheetId="2" name="solver_rhs2">'Q4-What_if'!$L$11:$L$13</definedName>
    <definedName localSheetId="0" name="solver_rhs1">'Q3-Scenario 1'!$J$18</definedName>
    <definedName localSheetId="1" name="solver_opt">'Q3-Scenario 2'!$L$24</definedName>
    <definedName name="C.10.">#REF!</definedName>
    <definedName name="Deviation_Updated">#REF!</definedName>
    <definedName name="B1.6">#REF!</definedName>
    <definedName localSheetId="1" name="solver_rhs1">'Q3-Scenario 2'!$I$18</definedName>
    <definedName name="Turnaround_Support">#REF!</definedName>
    <definedName name="Pallet_Allottment">'Q3-Scenario 1'!$C$18:$G$18</definedName>
    <definedName localSheetId="0" name="solver_rhs6">'Q3-Scenario 1'!$C$22:$G$22</definedName>
    <definedName name="Net_flow">'Q5-LogisticsNetwork'!$J$5:$J$14</definedName>
    <definedName name="Shipment">'Q5-LogisticsNetwork'!$D$5:$D$20</definedName>
    <definedName localSheetId="0" name="solver_lhs4">'Q3-Scenario 1'!$C$18:$G$18</definedName>
    <definedName name="Payment_and_Contract_Terms">#REF!</definedName>
    <definedName name="A.1">#REF!</definedName>
    <definedName name="D.2">#REF!</definedName>
    <definedName localSheetId="1" name="Penalty">'Q3-Scenario 2'!$H$24:$I$26</definedName>
    <definedName name="B.2.2">#REF!</definedName>
    <definedName localSheetId="2" name="solver_lhs2">'Q4-What_if'!$J$11:$J$13</definedName>
    <definedName name="B.1.6">#REF!</definedName>
    <definedName name="F.">#REF!</definedName>
    <definedName localSheetId="1" name="Total_Cost">'Q3-Scenario 2'!$C$11:$F$11</definedName>
    <definedName name="B2.4">#REF!</definedName>
    <definedName name="Deviation">'Q3-Scenario 1'!$I$11:$J$13</definedName>
    <definedName name="Implementation_Support_Requirements">#REF!</definedName>
    <definedName name="Customer_Support_Requirements">#REF!</definedName>
    <definedName name="Product_Coverage">#REF!</definedName>
    <definedName name="C.10">#REF!</definedName>
    <definedName name="B1.1_1.5">#REF!</definedName>
    <definedName name="B.4.1">#REF!</definedName>
    <definedName localSheetId="2" name="solver_opt">'Q4-What_if'!$L$24</definedName>
    <definedName localSheetId="1" name="solver_lhs3">'Q3-Scenario 2'!$C$18:$F$18</definedName>
    <definedName name="Unit_Cost">'Q5-LogisticsNetwork'!$G$5:$G$20</definedName>
    <definedName name="Range1">#REF!</definedName>
    <definedName name="Penalty">'Q3-Scenario 1'!$I$24:$J$25</definedName>
    <definedName name="B2.1">#REF!</definedName>
    <definedName name="B1.1_1.4">#REF!</definedName>
    <definedName name="D.1.">#REF!</definedName>
    <definedName name="B2.2_2.3">#REF!</definedName>
    <definedName localSheetId="1" name="solver_lhs1">'Q3-Scenario 2'!$G$18</definedName>
    <definedName name="D.1">#REF!</definedName>
    <definedName name="Supplier_Diversity">#REF!</definedName>
    <definedName name="Technical_Support_Requirements">#REF!</definedName>
    <definedName localSheetId="0" name="solver_rhs3">'Q3-Scenario 1'!$C$20:$G$20</definedName>
    <definedName localSheetId="2" name="Penalty">'Q4-What_if'!$H$24:$I$26</definedName>
    <definedName name="E.2">#REF!</definedName>
    <definedName name="E.">#REF!</definedName>
    <definedName name="A.4.">#REF!</definedName>
  </definedNames>
  <calcPr/>
  <extLst>
    <ext uri="GoogleSheetsCustomDataVersion1">
      <go:sheetsCustomData xmlns:go="http://customooxmlschemas.google.com/" r:id="rId9" roundtripDataSignature="AMtx7mifBKXBHKSUnJpiBpoaxtip2vSXHw=="/>
    </ext>
  </extLst>
</workbook>
</file>

<file path=xl/sharedStrings.xml><?xml version="1.0" encoding="utf-8"?>
<sst xmlns="http://schemas.openxmlformats.org/spreadsheetml/2006/main" count="235" uniqueCount="62">
  <si>
    <t>Vendor Mix</t>
  </si>
  <si>
    <t>Per Pallet Values</t>
  </si>
  <si>
    <t>Deviation</t>
  </si>
  <si>
    <t>Level Achieved - Amount over +Amount Under</t>
  </si>
  <si>
    <t>Details</t>
  </si>
  <si>
    <t>DLSS</t>
  </si>
  <si>
    <t>WDSrx</t>
  </si>
  <si>
    <t>R&amp;S Solutions</t>
  </si>
  <si>
    <t>RxTPL</t>
  </si>
  <si>
    <t>UPS</t>
  </si>
  <si>
    <t>Level Achieved</t>
  </si>
  <si>
    <t>Over</t>
  </si>
  <si>
    <t>Under</t>
  </si>
  <si>
    <t>Balance LHS</t>
  </si>
  <si>
    <t>Goal</t>
  </si>
  <si>
    <t>In 100s</t>
  </si>
  <si>
    <t>Storage Cost</t>
  </si>
  <si>
    <t xml:space="preserve">Handling Cost </t>
  </si>
  <si>
    <t>Outbound Transportation</t>
  </si>
  <si>
    <t>In 100s fixed</t>
  </si>
  <si>
    <t>Other Cost</t>
  </si>
  <si>
    <t>Serialization Program</t>
  </si>
  <si>
    <t>Unit cost for storage</t>
  </si>
  <si>
    <t>Per pallet Values annual</t>
  </si>
  <si>
    <t>Total Cost</t>
  </si>
  <si>
    <t>=</t>
  </si>
  <si>
    <t>Budget = 95% of Baseline</t>
  </si>
  <si>
    <t>Profit</t>
  </si>
  <si>
    <t>Profit in 1st year = 5% of Baseline</t>
  </si>
  <si>
    <t>Per pallet Values</t>
  </si>
  <si>
    <t>Qualitative Score</t>
  </si>
  <si>
    <t>Minimum qualitive score</t>
  </si>
  <si>
    <t>Lower Limit</t>
  </si>
  <si>
    <t>Baseline</t>
  </si>
  <si>
    <t>Pallet Allotment</t>
  </si>
  <si>
    <t>&lt;=</t>
  </si>
  <si>
    <t>Vault Capacity</t>
  </si>
  <si>
    <t>Penalty</t>
  </si>
  <si>
    <t xml:space="preserve"> As WSDrx is an outlier and cannot meet the customer future requirements, we create scenario 2 to check optimum solution</t>
  </si>
  <si>
    <t>Particulars</t>
  </si>
  <si>
    <t>Weighted Sum</t>
  </si>
  <si>
    <t>Since shifting from incumbent to RxTPL would cost client time, resources and industry relationship, find the negotiation opportunities for the client against incumbent</t>
  </si>
  <si>
    <t>*Assumming standard shipment orders as pallets</t>
  </si>
  <si>
    <t>From</t>
  </si>
  <si>
    <t>To</t>
  </si>
  <si>
    <t>Shipment</t>
  </si>
  <si>
    <t>Capacity</t>
  </si>
  <si>
    <t>Unit Cost</t>
  </si>
  <si>
    <t>Nodes</t>
  </si>
  <si>
    <t>Net flow</t>
  </si>
  <si>
    <t>Net flow Required</t>
  </si>
  <si>
    <t>Plainfield, IN</t>
  </si>
  <si>
    <t>Fontana</t>
  </si>
  <si>
    <t>Cincinnati</t>
  </si>
  <si>
    <t>Weston, FL</t>
  </si>
  <si>
    <t>Memphis (amortex)</t>
  </si>
  <si>
    <t>Memphis (client)</t>
  </si>
  <si>
    <t>Boca Raton</t>
  </si>
  <si>
    <t>Jackson</t>
  </si>
  <si>
    <t>Cincinnati, TN</t>
  </si>
  <si>
    <t>Louisville</t>
  </si>
  <si>
    <t>Total monthly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</si>
</sst>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$-409]* #,##0.00_ ;_-[$$-409]* \-#,##0.00\ ;_-[$$-409]* &quot;-&quot;??_ ;_-@_ "/>
  </numFmts>
  <fonts count="9">
    <font>
      <sz val="11.0"/>
      <color theme="1"/>
      <name val="Calibri"/>
      <scheme val="minor"/>
    </font>
    <font>
      <b/>
      <sz val="6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b/>
      <sz val="11.0"/>
      <color rgb="FF000000"/>
      <name val="Calibri"/>
    </font>
    <font>
      <b/>
      <sz val="11.0"/>
      <color rgb="FFFFFFFF"/>
      <name val="Calibri"/>
    </font>
    <font>
      <sz val="11.0"/>
      <color rgb="FF000000"/>
      <name val="Calibri"/>
    </font>
    <font>
      <sz val="11.0"/>
      <color rgb="FFC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</fills>
  <borders count="7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Border="1" applyFont="1"/>
    <xf borderId="2" fillId="0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5" fillId="2" fontId="5" numFmtId="0" xfId="0" applyAlignment="1" applyBorder="1" applyFill="1" applyFont="1">
      <alignment horizontal="center" readingOrder="1" shrinkToFit="0" vertical="center" wrapText="1"/>
    </xf>
    <xf borderId="5" fillId="0" fontId="3" numFmtId="0" xfId="0" applyAlignment="1" applyBorder="1" applyFont="1">
      <alignment horizontal="center" vertical="center"/>
    </xf>
    <xf borderId="5" fillId="3" fontId="6" numFmtId="0" xfId="0" applyAlignment="1" applyBorder="1" applyFill="1" applyFont="1">
      <alignment horizontal="center" readingOrder="1" shrinkToFit="0" vertical="center" wrapText="1"/>
    </xf>
    <xf borderId="5" fillId="4" fontId="7" numFmtId="1" xfId="0" applyAlignment="1" applyBorder="1" applyFill="1" applyFont="1" applyNumberFormat="1">
      <alignment horizontal="center" readingOrder="1" shrinkToFit="0" vertical="center" wrapText="1"/>
    </xf>
    <xf borderId="5" fillId="4" fontId="8" numFmtId="1" xfId="0" applyAlignment="1" applyBorder="1" applyFont="1" applyNumberFormat="1">
      <alignment horizontal="center" readingOrder="1" shrinkToFit="0" vertical="center" wrapText="1"/>
    </xf>
    <xf borderId="5" fillId="4" fontId="7" numFmtId="2" xfId="0" applyAlignment="1" applyBorder="1" applyFont="1" applyNumberFormat="1">
      <alignment horizontal="center" readingOrder="1" shrinkToFit="0" vertical="center" wrapText="1"/>
    </xf>
    <xf borderId="5" fillId="5" fontId="2" numFmtId="0" xfId="0" applyAlignment="1" applyBorder="1" applyFill="1" applyFont="1">
      <alignment horizontal="center" vertical="center"/>
    </xf>
    <xf borderId="5" fillId="6" fontId="2" numFmtId="0" xfId="0" applyAlignment="1" applyBorder="1" applyFill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5" fillId="4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left" vertical="center"/>
    </xf>
    <xf borderId="5" fillId="4" fontId="2" numFmtId="2" xfId="0" applyAlignment="1" applyBorder="1" applyFont="1" applyNumberFormat="1">
      <alignment horizontal="center" vertical="center"/>
    </xf>
    <xf borderId="5" fillId="4" fontId="7" numFmtId="0" xfId="0" applyAlignment="1" applyBorder="1" applyFont="1">
      <alignment horizontal="center" readingOrder="1" shrinkToFit="0" vertical="center" wrapText="1"/>
    </xf>
    <xf borderId="5" fillId="4" fontId="7" numFmtId="3" xfId="0" applyAlignment="1" applyBorder="1" applyFont="1" applyNumberFormat="1">
      <alignment horizontal="center" readingOrder="1" shrinkToFit="0" vertical="center" wrapText="1"/>
    </xf>
    <xf borderId="6" fillId="4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5" fillId="4" fontId="2" numFmtId="1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0" fontId="3" numFmtId="0" xfId="0" applyAlignment="1" applyFont="1">
      <alignment horizontal="left" vertical="center"/>
    </xf>
    <xf borderId="0" fillId="0" fontId="2" numFmtId="0" xfId="0" applyAlignment="1" applyFont="1">
      <alignment horizontal="right" vertical="center"/>
    </xf>
    <xf borderId="5" fillId="7" fontId="2" numFmtId="0" xfId="0" applyAlignment="1" applyBorder="1" applyFill="1" applyFont="1">
      <alignment horizontal="center" vertical="center"/>
    </xf>
    <xf borderId="6" fillId="2" fontId="2" numFmtId="0" xfId="0" applyAlignment="1" applyBorder="1" applyFont="1">
      <alignment horizontal="center" vertical="center"/>
    </xf>
    <xf borderId="5" fillId="5" fontId="2" numFmtId="164" xfId="0" applyAlignment="1" applyBorder="1" applyFont="1" applyNumberFormat="1">
      <alignment horizontal="center" vertical="center"/>
    </xf>
    <xf borderId="6" fillId="8" fontId="2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M:\KPIs\2016%20Template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er"/>
      <sheetName val="Performance Charts"/>
      <sheetName val="Account Overview"/>
      <sheetName val="Temperature Trends"/>
      <sheetName val="Shipments by Country"/>
      <sheetName val="Shipments by Region"/>
      <sheetName val="Detailed Delay Summary"/>
      <sheetName val="Delay Trends"/>
      <sheetName val="Delay Trends  by Country"/>
      <sheetName val="Delay Reasons"/>
      <sheetName val="Delay Chart ALL"/>
      <sheetName val="All Shipments"/>
      <sheetName val="Current Month"/>
      <sheetName val="Temps"/>
      <sheetName val="Expected Transit Times"/>
      <sheetName val="CSI"/>
      <sheetName val="Master Table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3.0"/>
    <col customWidth="1" min="2" max="2" width="16.57"/>
    <col customWidth="1" min="3" max="5" width="14.43"/>
    <col customWidth="1" min="6" max="6" width="15.14"/>
    <col customWidth="1" min="7" max="8" width="15.0"/>
    <col customWidth="1" min="9" max="9" width="10.71"/>
    <col customWidth="1" min="10" max="10" width="8.86"/>
    <col customWidth="1" min="11" max="11" width="17.14"/>
    <col customWidth="1" min="12" max="12" width="16.29"/>
    <col customWidth="1" min="13" max="13" width="12.71"/>
    <col customWidth="1" min="14" max="15" width="8.86"/>
    <col customWidth="1" min="16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/>
      <c r="B3" s="2"/>
      <c r="C3" s="4" t="s">
        <v>1</v>
      </c>
      <c r="D3" s="5"/>
      <c r="E3" s="5"/>
      <c r="F3" s="5"/>
      <c r="G3" s="5"/>
      <c r="H3" s="3"/>
      <c r="I3" s="6" t="s">
        <v>2</v>
      </c>
      <c r="J3" s="7"/>
      <c r="K3" s="6" t="s">
        <v>3</v>
      </c>
      <c r="L3" s="8"/>
      <c r="M3" s="7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4</v>
      </c>
      <c r="B4" s="9"/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/>
      <c r="M4" s="10" t="s">
        <v>14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3" t="s">
        <v>15</v>
      </c>
      <c r="B5" s="11" t="s">
        <v>16</v>
      </c>
      <c r="C5" s="12">
        <f>701928/100</f>
        <v>7019.28</v>
      </c>
      <c r="D5" s="12">
        <f>396000/100</f>
        <v>3960</v>
      </c>
      <c r="E5" s="12">
        <f>482400/100</f>
        <v>4824</v>
      </c>
      <c r="F5" s="12">
        <f>648000/100</f>
        <v>6480</v>
      </c>
      <c r="G5" s="12">
        <f>(756000+140340)/100</f>
        <v>8963.4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3" t="s">
        <v>15</v>
      </c>
      <c r="B6" s="11" t="s">
        <v>17</v>
      </c>
      <c r="C6" s="12">
        <f>(122153+12424)/100</f>
        <v>1345.77</v>
      </c>
      <c r="D6" s="12">
        <f>(2868+80753+10050+10920)/100</f>
        <v>1045.91</v>
      </c>
      <c r="E6" s="12">
        <f>(11472+71498+13500+254400)/100</f>
        <v>3508.7</v>
      </c>
      <c r="F6" s="12">
        <f>(14340+73147+7600+3600)/100</f>
        <v>986.87</v>
      </c>
      <c r="G6" s="12">
        <f>(4090+56356)/100</f>
        <v>604.46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3" t="s">
        <v>15</v>
      </c>
      <c r="B7" s="11" t="s">
        <v>18</v>
      </c>
      <c r="C7" s="12">
        <f>120822/100</f>
        <v>1208.22</v>
      </c>
      <c r="D7" s="12">
        <f>103538/100</f>
        <v>1035.38</v>
      </c>
      <c r="E7" s="12">
        <f>115330/100</f>
        <v>1153.3</v>
      </c>
      <c r="F7" s="13">
        <f>188276/100</f>
        <v>1882.76</v>
      </c>
      <c r="G7" s="12">
        <f>(86957)/100</f>
        <v>869.57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3" t="s">
        <v>19</v>
      </c>
      <c r="B8" s="11" t="s">
        <v>20</v>
      </c>
      <c r="C8" s="12">
        <f>(37507+10865+187+3249+20395)/100</f>
        <v>722.03</v>
      </c>
      <c r="D8" s="12">
        <f>(3847+10865+94+18000)/100</f>
        <v>328.06</v>
      </c>
      <c r="E8" s="12">
        <f>(28646+10865+144+1800+3000)/100</f>
        <v>444.55</v>
      </c>
      <c r="F8" s="12">
        <f>(9996+24000)/100</f>
        <v>339.96</v>
      </c>
      <c r="G8" s="12">
        <f>11359/100</f>
        <v>113.59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" t="s">
        <v>19</v>
      </c>
      <c r="B9" s="11" t="s">
        <v>21</v>
      </c>
      <c r="C9" s="12">
        <f>(25000+9000)/100</f>
        <v>340</v>
      </c>
      <c r="D9" s="12">
        <f>6000/100</f>
        <v>60</v>
      </c>
      <c r="E9" s="12">
        <f>2500/100</f>
        <v>25</v>
      </c>
      <c r="F9" s="12">
        <f>24000/100</f>
        <v>240</v>
      </c>
      <c r="G9" s="12">
        <f>(217215+156480)/100</f>
        <v>3736.95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"/>
      <c r="B10" s="11" t="s">
        <v>22</v>
      </c>
      <c r="C10" s="14">
        <v>97.49</v>
      </c>
      <c r="D10" s="12">
        <v>55.0</v>
      </c>
      <c r="E10" s="12">
        <v>67.0</v>
      </c>
      <c r="F10" s="12">
        <v>90.0</v>
      </c>
      <c r="G10" s="12">
        <v>105.0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" t="s">
        <v>23</v>
      </c>
      <c r="B11" s="11" t="s">
        <v>24</v>
      </c>
      <c r="C11" s="12">
        <f t="shared" ref="C11:G11" si="1">(SUM(C5:C7)+SUM(C8:C9))/6</f>
        <v>1772.55</v>
      </c>
      <c r="D11" s="12">
        <f t="shared" si="1"/>
        <v>1071.558333</v>
      </c>
      <c r="E11" s="12">
        <f t="shared" si="1"/>
        <v>1659.258333</v>
      </c>
      <c r="F11" s="12">
        <f t="shared" si="1"/>
        <v>1654.931667</v>
      </c>
      <c r="G11" s="12">
        <f t="shared" si="1"/>
        <v>2381.328333</v>
      </c>
      <c r="H11" s="15">
        <f t="shared" ref="H11:H12" si="2">SUMPRODUCT(C11:G11,$C$18:$G$18)</f>
        <v>799279.0533</v>
      </c>
      <c r="I11" s="16">
        <v>0.0</v>
      </c>
      <c r="J11" s="16">
        <v>194209.0966667067</v>
      </c>
      <c r="K11" s="15">
        <f t="shared" ref="K11:K13" si="3">H11-I11+J11</f>
        <v>993488.15</v>
      </c>
      <c r="L11" s="17" t="s">
        <v>25</v>
      </c>
      <c r="M11" s="18">
        <f>N16*0.95</f>
        <v>993488.15</v>
      </c>
      <c r="N11" s="2"/>
      <c r="O11" s="19" t="s">
        <v>26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3" t="s">
        <v>23</v>
      </c>
      <c r="B12" s="11" t="s">
        <v>27</v>
      </c>
      <c r="C12" s="20">
        <f>-17754/600</f>
        <v>-29.59</v>
      </c>
      <c r="D12" s="20">
        <f>402843/600</f>
        <v>671.405</v>
      </c>
      <c r="E12" s="20">
        <f>50222/600</f>
        <v>83.70333333</v>
      </c>
      <c r="F12" s="20">
        <f>52819/600</f>
        <v>88.03166667</v>
      </c>
      <c r="G12" s="20">
        <f>-383019/600</f>
        <v>-638.365</v>
      </c>
      <c r="H12" s="15">
        <f t="shared" si="2"/>
        <v>246498.9467</v>
      </c>
      <c r="I12" s="16">
        <v>194210.09666666703</v>
      </c>
      <c r="J12" s="16">
        <v>0.0</v>
      </c>
      <c r="K12" s="15">
        <f t="shared" si="3"/>
        <v>52288.85</v>
      </c>
      <c r="L12" s="17" t="s">
        <v>25</v>
      </c>
      <c r="M12" s="18">
        <f>0.05*N16</f>
        <v>52288.85</v>
      </c>
      <c r="N12" s="2"/>
      <c r="O12" s="19" t="s">
        <v>28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" t="s">
        <v>29</v>
      </c>
      <c r="B13" s="11" t="s">
        <v>30</v>
      </c>
      <c r="C13" s="14">
        <f>90/600</f>
        <v>0.15</v>
      </c>
      <c r="D13" s="21">
        <f>87.4/600</f>
        <v>0.1456666667</v>
      </c>
      <c r="E13" s="22">
        <f>77.8/600</f>
        <v>0.1296666667</v>
      </c>
      <c r="F13" s="21">
        <f>81.6/600</f>
        <v>0.136</v>
      </c>
      <c r="G13" s="21">
        <f>85.4/600</f>
        <v>0.1423333333</v>
      </c>
      <c r="H13" s="15">
        <f>SUMPRODUCT(C13:G13,C18:G18)</f>
        <v>84.80933333</v>
      </c>
      <c r="I13" s="16">
        <v>0.0</v>
      </c>
      <c r="J13" s="16">
        <v>0.19066666666668008</v>
      </c>
      <c r="K13" s="15">
        <f t="shared" si="3"/>
        <v>85</v>
      </c>
      <c r="L13" s="17" t="s">
        <v>25</v>
      </c>
      <c r="M13" s="18">
        <f>SUMPRODUCT(C15:G15,C18:G18)</f>
        <v>85</v>
      </c>
      <c r="N13" s="2"/>
      <c r="O13" s="19" t="s">
        <v>31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3" t="s">
        <v>29</v>
      </c>
      <c r="B15" s="11" t="s">
        <v>32</v>
      </c>
      <c r="C15" s="23">
        <f t="shared" ref="C15:G15" si="4">85/600</f>
        <v>0.1416666667</v>
      </c>
      <c r="D15" s="23">
        <f t="shared" si="4"/>
        <v>0.1416666667</v>
      </c>
      <c r="E15" s="23">
        <f t="shared" si="4"/>
        <v>0.1416666667</v>
      </c>
      <c r="F15" s="23">
        <f t="shared" si="4"/>
        <v>0.1416666667</v>
      </c>
      <c r="G15" s="23">
        <f t="shared" si="4"/>
        <v>0.1416666667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3" t="s">
        <v>33</v>
      </c>
      <c r="N16" s="3">
        <v>1045777.0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3"/>
      <c r="B18" s="11" t="s">
        <v>34</v>
      </c>
      <c r="C18" s="16">
        <v>0.0</v>
      </c>
      <c r="D18" s="16">
        <v>332.0</v>
      </c>
      <c r="E18" s="16">
        <v>0.0</v>
      </c>
      <c r="F18" s="16">
        <v>268.0</v>
      </c>
      <c r="G18" s="16">
        <v>0.0</v>
      </c>
      <c r="H18" s="15">
        <f>SUM(C18:G18)</f>
        <v>600</v>
      </c>
      <c r="I18" s="17" t="s">
        <v>25</v>
      </c>
      <c r="J18" s="18">
        <v>600.0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"/>
      <c r="B19" s="2"/>
      <c r="C19" s="2" t="s">
        <v>35</v>
      </c>
      <c r="D19" s="2" t="s">
        <v>35</v>
      </c>
      <c r="E19" s="2" t="s">
        <v>35</v>
      </c>
      <c r="F19" s="2" t="s">
        <v>35</v>
      </c>
      <c r="G19" s="2" t="s">
        <v>35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"/>
      <c r="B20" s="11" t="s">
        <v>36</v>
      </c>
      <c r="C20" s="18">
        <v>1000.0</v>
      </c>
      <c r="D20" s="18">
        <v>332.0</v>
      </c>
      <c r="E20" s="18">
        <v>1000.0</v>
      </c>
      <c r="F20" s="18">
        <v>600.0</v>
      </c>
      <c r="G20" s="18">
        <v>1000.0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"/>
      <c r="B22" s="2"/>
      <c r="C22" s="2"/>
      <c r="D22" s="2"/>
      <c r="E22" s="2"/>
      <c r="F22" s="2"/>
      <c r="G22" s="2"/>
      <c r="H22" s="2"/>
      <c r="I22" s="24" t="s">
        <v>37</v>
      </c>
      <c r="J22" s="7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3"/>
      <c r="B23" s="2"/>
      <c r="C23" s="2"/>
      <c r="D23" s="2"/>
      <c r="E23" s="2"/>
      <c r="F23" s="2"/>
      <c r="G23" s="2"/>
      <c r="H23" s="2"/>
      <c r="I23" s="17" t="s">
        <v>11</v>
      </c>
      <c r="J23" s="17" t="s">
        <v>12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3"/>
      <c r="B24" s="2"/>
      <c r="C24" s="2"/>
      <c r="D24" s="2"/>
      <c r="E24" s="2"/>
      <c r="F24" s="2"/>
      <c r="G24" s="2"/>
      <c r="H24" s="2"/>
      <c r="I24" s="25">
        <v>-1.0</v>
      </c>
      <c r="J24" s="25">
        <v>3.0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"/>
      <c r="B25" s="2"/>
      <c r="C25" s="2"/>
      <c r="D25" s="26"/>
      <c r="E25" s="2"/>
      <c r="F25" s="2"/>
      <c r="G25" s="2"/>
      <c r="H25" s="2"/>
      <c r="I25" s="25">
        <v>0.0</v>
      </c>
      <c r="J25" s="25">
        <v>4.0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"/>
      <c r="B27" s="2"/>
      <c r="C27" s="2"/>
      <c r="D27" s="26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3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3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3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4">
    <mergeCell ref="C3:G3"/>
    <mergeCell ref="I3:J3"/>
    <mergeCell ref="K3:M3"/>
    <mergeCell ref="I22:J2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2.43"/>
    <col customWidth="1" min="2" max="2" width="16.57"/>
    <col customWidth="1" min="3" max="4" width="14.43"/>
    <col customWidth="1" min="5" max="5" width="15.14"/>
    <col customWidth="1" min="6" max="7" width="15.0"/>
    <col customWidth="1" min="8" max="8" width="10.71"/>
    <col customWidth="1" min="9" max="9" width="8.86"/>
    <col customWidth="1" min="10" max="10" width="14.43"/>
    <col customWidth="1" min="11" max="11" width="14.86"/>
    <col customWidth="1" min="12" max="12" width="12.71"/>
    <col customWidth="1" min="13" max="13" width="45.43"/>
    <col customWidth="1" min="14" max="26" width="8.71"/>
  </cols>
  <sheetData>
    <row r="1" ht="14.25" customHeight="1">
      <c r="A1" s="27" t="s">
        <v>38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/>
      <c r="B3" s="3"/>
      <c r="C3" s="4" t="s">
        <v>1</v>
      </c>
      <c r="D3" s="5"/>
      <c r="E3" s="5"/>
      <c r="F3" s="5"/>
      <c r="G3" s="3"/>
      <c r="H3" s="6" t="s">
        <v>2</v>
      </c>
      <c r="I3" s="7"/>
      <c r="J3" s="6" t="s">
        <v>3</v>
      </c>
      <c r="K3" s="8"/>
      <c r="L3" s="7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 t="s">
        <v>4</v>
      </c>
      <c r="B4" s="9" t="s">
        <v>39</v>
      </c>
      <c r="C4" s="9" t="s">
        <v>5</v>
      </c>
      <c r="D4" s="9" t="s">
        <v>7</v>
      </c>
      <c r="E4" s="9" t="s">
        <v>8</v>
      </c>
      <c r="F4" s="9" t="s">
        <v>9</v>
      </c>
      <c r="G4" s="10" t="s">
        <v>10</v>
      </c>
      <c r="H4" s="10" t="s">
        <v>11</v>
      </c>
      <c r="I4" s="10" t="s">
        <v>12</v>
      </c>
      <c r="J4" s="10" t="s">
        <v>13</v>
      </c>
      <c r="K4" s="10"/>
      <c r="L4" s="10" t="s">
        <v>14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 t="s">
        <v>15</v>
      </c>
      <c r="B5" s="11" t="s">
        <v>16</v>
      </c>
      <c r="C5" s="12">
        <f>701928/100</f>
        <v>7019.28</v>
      </c>
      <c r="D5" s="12">
        <f>482400/100</f>
        <v>4824</v>
      </c>
      <c r="E5" s="12">
        <f>648000/100</f>
        <v>6480</v>
      </c>
      <c r="F5" s="12">
        <f>(756000+140340)/100</f>
        <v>8963.4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3" t="s">
        <v>15</v>
      </c>
      <c r="B6" s="11" t="s">
        <v>17</v>
      </c>
      <c r="C6" s="12">
        <f>(122153+12424)/100</f>
        <v>1345.77</v>
      </c>
      <c r="D6" s="12">
        <f>(11472+71498+13500+254400)/100</f>
        <v>3508.7</v>
      </c>
      <c r="E6" s="12">
        <f>(14340+73147+7600+3600)/100</f>
        <v>986.87</v>
      </c>
      <c r="F6" s="12">
        <f>(4090+56356)/100</f>
        <v>604.46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3" t="s">
        <v>15</v>
      </c>
      <c r="B7" s="11" t="s">
        <v>18</v>
      </c>
      <c r="C7" s="12">
        <f>120822/100</f>
        <v>1208.22</v>
      </c>
      <c r="D7" s="12">
        <f>115330/100</f>
        <v>1153.3</v>
      </c>
      <c r="E7" s="13">
        <f>188276/100</f>
        <v>1882.76</v>
      </c>
      <c r="F7" s="12">
        <f>(86957)/100</f>
        <v>869.57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3" t="s">
        <v>19</v>
      </c>
      <c r="B8" s="11" t="s">
        <v>20</v>
      </c>
      <c r="C8" s="12">
        <f>(37507+10865+187+3249+20395)/100</f>
        <v>722.03</v>
      </c>
      <c r="D8" s="12">
        <f>(28646+10865+144+1800+3000)/100</f>
        <v>444.55</v>
      </c>
      <c r="E8" s="12">
        <f>(9996+24000)/100</f>
        <v>339.96</v>
      </c>
      <c r="F8" s="12">
        <f>11359/100</f>
        <v>113.59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" t="s">
        <v>19</v>
      </c>
      <c r="B9" s="11" t="s">
        <v>21</v>
      </c>
      <c r="C9" s="12">
        <f>(25000+9000)/100</f>
        <v>340</v>
      </c>
      <c r="D9" s="12">
        <f>2500/100</f>
        <v>25</v>
      </c>
      <c r="E9" s="12">
        <f>24000/100</f>
        <v>240</v>
      </c>
      <c r="F9" s="12">
        <f>(217215+156480)/100</f>
        <v>3736.95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"/>
      <c r="B10" s="11" t="s">
        <v>22</v>
      </c>
      <c r="C10" s="14">
        <v>97.49</v>
      </c>
      <c r="D10" s="12">
        <v>67.0</v>
      </c>
      <c r="E10" s="12">
        <v>90.0</v>
      </c>
      <c r="F10" s="12">
        <v>105.0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" t="s">
        <v>23</v>
      </c>
      <c r="B11" s="11" t="s">
        <v>24</v>
      </c>
      <c r="C11" s="12">
        <f t="shared" ref="C11:F11" si="1">(SUM(C5:C7)+SUM(C8:C9))/6</f>
        <v>1772.55</v>
      </c>
      <c r="D11" s="12">
        <f t="shared" si="1"/>
        <v>1659.258333</v>
      </c>
      <c r="E11" s="12">
        <f t="shared" si="1"/>
        <v>1654.931667</v>
      </c>
      <c r="F11" s="12">
        <f t="shared" si="1"/>
        <v>2381.328333</v>
      </c>
      <c r="G11" s="15">
        <f t="shared" ref="G11:G12" si="2">SUMPRODUCT(C11:F11,$C$18:$F$18)</f>
        <v>992959</v>
      </c>
      <c r="H11" s="16">
        <v>0.0</v>
      </c>
      <c r="I11" s="16">
        <v>529.1500000139615</v>
      </c>
      <c r="J11" s="15">
        <f t="shared" ref="J11:J13" si="3">G11-H11+I11</f>
        <v>993488.15</v>
      </c>
      <c r="K11" s="17" t="s">
        <v>25</v>
      </c>
      <c r="L11" s="18">
        <f>M16*0.95</f>
        <v>993488.15</v>
      </c>
      <c r="M11" s="28" t="s">
        <v>26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3" t="s">
        <v>23</v>
      </c>
      <c r="B12" s="11" t="s">
        <v>27</v>
      </c>
      <c r="C12" s="20">
        <f>-17754/600</f>
        <v>-29.59</v>
      </c>
      <c r="D12" s="20">
        <f>50222/600</f>
        <v>83.70333333</v>
      </c>
      <c r="E12" s="20">
        <f>52819/600</f>
        <v>88.03166667</v>
      </c>
      <c r="F12" s="20">
        <f>-383019/600</f>
        <v>-638.365</v>
      </c>
      <c r="G12" s="15">
        <f t="shared" si="2"/>
        <v>52819</v>
      </c>
      <c r="H12" s="16">
        <v>530.1499999965679</v>
      </c>
      <c r="I12" s="16">
        <v>0.0</v>
      </c>
      <c r="J12" s="15">
        <f t="shared" si="3"/>
        <v>52288.85</v>
      </c>
      <c r="K12" s="17" t="s">
        <v>25</v>
      </c>
      <c r="L12" s="18">
        <f>0.05*M16</f>
        <v>52288.85</v>
      </c>
      <c r="M12" s="28" t="s">
        <v>28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" t="s">
        <v>29</v>
      </c>
      <c r="B13" s="11" t="s">
        <v>30</v>
      </c>
      <c r="C13" s="14">
        <f>90.8/600</f>
        <v>0.1513333333</v>
      </c>
      <c r="D13" s="22">
        <f>77.8/600</f>
        <v>0.1296666667</v>
      </c>
      <c r="E13" s="21">
        <f>81.6/600</f>
        <v>0.136</v>
      </c>
      <c r="F13" s="21">
        <f>85.4/600</f>
        <v>0.1423333333</v>
      </c>
      <c r="G13" s="15">
        <f>SUMPRODUCT(C13:F13,C18:F18)</f>
        <v>81.6</v>
      </c>
      <c r="H13" s="16">
        <v>0.0</v>
      </c>
      <c r="I13" s="16">
        <v>3.399999999999992</v>
      </c>
      <c r="J13" s="15">
        <f t="shared" si="3"/>
        <v>85</v>
      </c>
      <c r="K13" s="17" t="s">
        <v>25</v>
      </c>
      <c r="L13" s="18">
        <f>SUMPRODUCT(B15:F15,B18:F18)</f>
        <v>85</v>
      </c>
      <c r="M13" s="28" t="s">
        <v>31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3" t="s">
        <v>29</v>
      </c>
      <c r="B15" s="11" t="s">
        <v>32</v>
      </c>
      <c r="C15" s="23">
        <f t="shared" ref="C15:F15" si="4">85/600</f>
        <v>0.1416666667</v>
      </c>
      <c r="D15" s="23">
        <f t="shared" si="4"/>
        <v>0.1416666667</v>
      </c>
      <c r="E15" s="23">
        <f t="shared" si="4"/>
        <v>0.1416666667</v>
      </c>
      <c r="F15" s="23">
        <f t="shared" si="4"/>
        <v>0.1416666667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3" t="s">
        <v>33</v>
      </c>
      <c r="M16" s="3">
        <v>1045777.0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3"/>
      <c r="B18" s="11" t="s">
        <v>34</v>
      </c>
      <c r="C18" s="16">
        <v>0.0</v>
      </c>
      <c r="D18" s="16">
        <v>0.0</v>
      </c>
      <c r="E18" s="16">
        <v>600.0</v>
      </c>
      <c r="F18" s="16">
        <v>0.0</v>
      </c>
      <c r="G18" s="15">
        <f>SUM(C18:F18)</f>
        <v>600</v>
      </c>
      <c r="H18" s="17" t="s">
        <v>25</v>
      </c>
      <c r="I18" s="18">
        <v>600.0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"/>
      <c r="B19" s="2"/>
      <c r="C19" s="2" t="s">
        <v>35</v>
      </c>
      <c r="D19" s="2" t="s">
        <v>35</v>
      </c>
      <c r="E19" s="2" t="s">
        <v>35</v>
      </c>
      <c r="F19" s="2" t="s">
        <v>35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"/>
      <c r="B20" s="11" t="s">
        <v>36</v>
      </c>
      <c r="C20" s="18">
        <v>1000.0</v>
      </c>
      <c r="D20" s="18">
        <v>1000.0</v>
      </c>
      <c r="E20" s="18">
        <v>600.0</v>
      </c>
      <c r="F20" s="18">
        <v>1000.0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"/>
      <c r="B22" s="2"/>
      <c r="C22" s="2"/>
      <c r="D22" s="2"/>
      <c r="E22" s="2"/>
      <c r="F22" s="2"/>
      <c r="G22" s="2"/>
      <c r="H22" s="24" t="s">
        <v>37</v>
      </c>
      <c r="I22" s="7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3"/>
      <c r="B23" s="2"/>
      <c r="C23" s="2"/>
      <c r="D23" s="2"/>
      <c r="E23" s="2"/>
      <c r="F23" s="2"/>
      <c r="G23" s="2"/>
      <c r="H23" s="17" t="s">
        <v>11</v>
      </c>
      <c r="I23" s="17" t="s">
        <v>12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3"/>
      <c r="B24" s="2"/>
      <c r="C24" s="2"/>
      <c r="D24" s="2"/>
      <c r="E24" s="2"/>
      <c r="F24" s="2"/>
      <c r="G24" s="2"/>
      <c r="H24" s="29">
        <v>5.0</v>
      </c>
      <c r="I24" s="29">
        <v>0.0</v>
      </c>
      <c r="J24" s="2"/>
      <c r="K24" s="2" t="s">
        <v>40</v>
      </c>
      <c r="L24" s="30">
        <f>SUMPRODUCT('Q3-Scenario 2'!Deviation,'Q3-Scenario 2'!Penalty)</f>
        <v>-516.55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"/>
      <c r="B25" s="2"/>
      <c r="C25" s="2"/>
      <c r="D25" s="2"/>
      <c r="E25" s="2"/>
      <c r="F25" s="2"/>
      <c r="G25" s="2"/>
      <c r="H25" s="29">
        <v>-1.0</v>
      </c>
      <c r="I25" s="29">
        <v>3.0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3"/>
      <c r="B26" s="2"/>
      <c r="C26" s="2"/>
      <c r="D26" s="2"/>
      <c r="E26" s="2"/>
      <c r="F26" s="2"/>
      <c r="G26" s="2"/>
      <c r="H26" s="29">
        <v>0.0</v>
      </c>
      <c r="I26" s="29">
        <v>4.0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3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3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3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3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C3:F3"/>
    <mergeCell ref="H3:I3"/>
    <mergeCell ref="J3:L3"/>
    <mergeCell ref="H22:I2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2.43"/>
    <col customWidth="1" min="2" max="2" width="16.57"/>
    <col customWidth="1" min="3" max="4" width="14.43"/>
    <col customWidth="1" min="5" max="5" width="15.14"/>
    <col customWidth="1" min="6" max="7" width="15.0"/>
    <col customWidth="1" min="8" max="8" width="10.71"/>
    <col customWidth="1" min="9" max="9" width="8.86"/>
    <col customWidth="1" min="10" max="10" width="14.43"/>
    <col customWidth="1" min="11" max="11" width="14.86"/>
    <col customWidth="1" min="12" max="12" width="12.71"/>
    <col customWidth="1" min="13" max="13" width="45.43"/>
    <col customWidth="1" min="14" max="26" width="8.71"/>
  </cols>
  <sheetData>
    <row r="1" ht="14.25" customHeight="1">
      <c r="A1" s="27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/>
      <c r="B3" s="3"/>
      <c r="C3" s="4" t="s">
        <v>1</v>
      </c>
      <c r="D3" s="5"/>
      <c r="E3" s="5"/>
      <c r="F3" s="5"/>
      <c r="G3" s="3"/>
      <c r="H3" s="6" t="s">
        <v>2</v>
      </c>
      <c r="I3" s="7"/>
      <c r="J3" s="6" t="s">
        <v>3</v>
      </c>
      <c r="K3" s="8"/>
      <c r="L3" s="7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 t="s">
        <v>4</v>
      </c>
      <c r="B4" s="9" t="s">
        <v>39</v>
      </c>
      <c r="C4" s="9" t="s">
        <v>5</v>
      </c>
      <c r="D4" s="9" t="s">
        <v>7</v>
      </c>
      <c r="E4" s="9" t="s">
        <v>8</v>
      </c>
      <c r="F4" s="9" t="s">
        <v>9</v>
      </c>
      <c r="G4" s="10" t="s">
        <v>10</v>
      </c>
      <c r="H4" s="10" t="s">
        <v>11</v>
      </c>
      <c r="I4" s="10" t="s">
        <v>12</v>
      </c>
      <c r="J4" s="10" t="s">
        <v>13</v>
      </c>
      <c r="K4" s="10"/>
      <c r="L4" s="10" t="s">
        <v>14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 t="s">
        <v>15</v>
      </c>
      <c r="B5" s="11" t="s">
        <v>16</v>
      </c>
      <c r="C5" s="12">
        <f>E5</f>
        <v>6480</v>
      </c>
      <c r="D5" s="12">
        <f>482400/100</f>
        <v>4824</v>
      </c>
      <c r="E5" s="12">
        <f>648000/100</f>
        <v>6480</v>
      </c>
      <c r="F5" s="12">
        <f>(756000+140340)/100</f>
        <v>8963.4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3" t="s">
        <v>15</v>
      </c>
      <c r="B6" s="11" t="s">
        <v>17</v>
      </c>
      <c r="C6" s="12">
        <f>(14340+73147+7600+3600)/100</f>
        <v>986.87</v>
      </c>
      <c r="D6" s="12">
        <f>(11472+71498+13500+254400)/100</f>
        <v>3508.7</v>
      </c>
      <c r="E6" s="12">
        <f>(14340+73147+7600+3600)/100</f>
        <v>986.87</v>
      </c>
      <c r="F6" s="12">
        <f>(4090+56356)/100</f>
        <v>604.46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3" t="s">
        <v>15</v>
      </c>
      <c r="B7" s="11" t="s">
        <v>18</v>
      </c>
      <c r="C7" s="12">
        <f>120822/100</f>
        <v>1208.22</v>
      </c>
      <c r="D7" s="12">
        <f>115330/100</f>
        <v>1153.3</v>
      </c>
      <c r="E7" s="13">
        <f>188276/100</f>
        <v>1882.76</v>
      </c>
      <c r="F7" s="12">
        <f>(86957)/100</f>
        <v>869.57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3" t="s">
        <v>19</v>
      </c>
      <c r="B8" s="11" t="s">
        <v>20</v>
      </c>
      <c r="C8" s="12">
        <f>(37507+10865+187+3249+20395)/100</f>
        <v>722.03</v>
      </c>
      <c r="D8" s="12">
        <f>(28646+10865+144+1800+3000)/100</f>
        <v>444.55</v>
      </c>
      <c r="E8" s="12">
        <f>(9996+24000)/100</f>
        <v>339.96</v>
      </c>
      <c r="F8" s="12">
        <f>11359/100</f>
        <v>113.59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" t="s">
        <v>19</v>
      </c>
      <c r="B9" s="11" t="s">
        <v>21</v>
      </c>
      <c r="C9" s="12">
        <f>(25000+9000)/100</f>
        <v>340</v>
      </c>
      <c r="D9" s="12">
        <f>2500/100</f>
        <v>25</v>
      </c>
      <c r="E9" s="12">
        <f>24000/100</f>
        <v>240</v>
      </c>
      <c r="F9" s="12">
        <f>(217215+156480)/100</f>
        <v>3736.95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"/>
      <c r="B10" s="11" t="s">
        <v>22</v>
      </c>
      <c r="C10" s="14">
        <v>90.0</v>
      </c>
      <c r="D10" s="12">
        <v>67.0</v>
      </c>
      <c r="E10" s="12">
        <v>90.0</v>
      </c>
      <c r="F10" s="12">
        <v>105.0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" t="s">
        <v>23</v>
      </c>
      <c r="B11" s="11" t="s">
        <v>24</v>
      </c>
      <c r="C11" s="12">
        <f t="shared" ref="C11:F11" si="1">(SUM(C5:C7)+SUM(C8:C9))/6</f>
        <v>1622.853333</v>
      </c>
      <c r="D11" s="12">
        <f t="shared" si="1"/>
        <v>1659.258333</v>
      </c>
      <c r="E11" s="12">
        <f t="shared" si="1"/>
        <v>1654.931667</v>
      </c>
      <c r="F11" s="12">
        <f t="shared" si="1"/>
        <v>2381.328333</v>
      </c>
      <c r="G11" s="15">
        <f t="shared" ref="G11:G12" si="2">SUMPRODUCT(C11:F11,$C$18:$F$18)</f>
        <v>973712</v>
      </c>
      <c r="H11" s="16">
        <v>0.0</v>
      </c>
      <c r="I11" s="16">
        <v>19776.149999966077</v>
      </c>
      <c r="J11" s="15">
        <f t="shared" ref="J11:J13" si="3">G11-H11+I11</f>
        <v>993488.15</v>
      </c>
      <c r="K11" s="17" t="s">
        <v>25</v>
      </c>
      <c r="L11" s="18">
        <f>M16*0.95</f>
        <v>993488.15</v>
      </c>
      <c r="M11" s="28" t="s">
        <v>26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3" t="s">
        <v>23</v>
      </c>
      <c r="B12" s="11" t="s">
        <v>27</v>
      </c>
      <c r="C12" s="20">
        <f>(-17754/100+('Q3-Scenario 1'!C5-'Q3-Scenario 1'!F5)+('Q3-Scenario 1'!C6-'Q3-Scenario 1'!F6))/6</f>
        <v>120.1066667</v>
      </c>
      <c r="D12" s="20">
        <f>50222/600</f>
        <v>83.70333333</v>
      </c>
      <c r="E12" s="20">
        <f>52819/600</f>
        <v>88.03166667</v>
      </c>
      <c r="F12" s="20">
        <f>-383019/600</f>
        <v>-638.365</v>
      </c>
      <c r="G12" s="15">
        <f t="shared" si="2"/>
        <v>72064</v>
      </c>
      <c r="H12" s="16">
        <v>19775.150000000995</v>
      </c>
      <c r="I12" s="16">
        <v>0.0</v>
      </c>
      <c r="J12" s="15">
        <f t="shared" si="3"/>
        <v>52288.85</v>
      </c>
      <c r="K12" s="17" t="s">
        <v>25</v>
      </c>
      <c r="L12" s="18">
        <f>0.05*M16</f>
        <v>52288.85</v>
      </c>
      <c r="M12" s="28" t="s">
        <v>28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" t="s">
        <v>29</v>
      </c>
      <c r="B13" s="11" t="s">
        <v>30</v>
      </c>
      <c r="C13" s="14">
        <f>90.8/600</f>
        <v>0.1513333333</v>
      </c>
      <c r="D13" s="22">
        <f>77.8/600</f>
        <v>0.1296666667</v>
      </c>
      <c r="E13" s="21">
        <f>81.6/600</f>
        <v>0.136</v>
      </c>
      <c r="F13" s="21">
        <f>85.4/600</f>
        <v>0.1423333333</v>
      </c>
      <c r="G13" s="15">
        <f>SUMPRODUCT(C13:F13,C18:F18)</f>
        <v>90.8</v>
      </c>
      <c r="H13" s="16">
        <v>5.799999999999994</v>
      </c>
      <c r="I13" s="16">
        <v>0.0</v>
      </c>
      <c r="J13" s="15">
        <f t="shared" si="3"/>
        <v>85</v>
      </c>
      <c r="K13" s="17" t="s">
        <v>25</v>
      </c>
      <c r="L13" s="18">
        <f>SUMPRODUCT(B15:F15,B18:F18)</f>
        <v>85</v>
      </c>
      <c r="M13" s="28" t="s">
        <v>31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3" t="s">
        <v>29</v>
      </c>
      <c r="B15" s="11" t="s">
        <v>32</v>
      </c>
      <c r="C15" s="23">
        <f t="shared" ref="C15:F15" si="4">85/600</f>
        <v>0.1416666667</v>
      </c>
      <c r="D15" s="23">
        <f t="shared" si="4"/>
        <v>0.1416666667</v>
      </c>
      <c r="E15" s="23">
        <f t="shared" si="4"/>
        <v>0.1416666667</v>
      </c>
      <c r="F15" s="23">
        <f t="shared" si="4"/>
        <v>0.1416666667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3" t="s">
        <v>33</v>
      </c>
      <c r="M16" s="3">
        <v>1045777.0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3"/>
      <c r="B18" s="11" t="s">
        <v>34</v>
      </c>
      <c r="C18" s="16">
        <v>600.0</v>
      </c>
      <c r="D18" s="16">
        <v>0.0</v>
      </c>
      <c r="E18" s="16">
        <v>0.0</v>
      </c>
      <c r="F18" s="16">
        <v>0.0</v>
      </c>
      <c r="G18" s="15">
        <f>SUM(C18:F18)</f>
        <v>600</v>
      </c>
      <c r="H18" s="17" t="s">
        <v>25</v>
      </c>
      <c r="I18" s="18">
        <v>600.0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"/>
      <c r="B19" s="2"/>
      <c r="C19" s="2" t="s">
        <v>35</v>
      </c>
      <c r="D19" s="2" t="s">
        <v>35</v>
      </c>
      <c r="E19" s="2" t="s">
        <v>35</v>
      </c>
      <c r="F19" s="2" t="s">
        <v>35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"/>
      <c r="B20" s="11" t="s">
        <v>36</v>
      </c>
      <c r="C20" s="18">
        <v>1000.0</v>
      </c>
      <c r="D20" s="18">
        <v>1000.0</v>
      </c>
      <c r="E20" s="18">
        <v>600.0</v>
      </c>
      <c r="F20" s="18">
        <v>1000.0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"/>
      <c r="B22" s="2"/>
      <c r="C22" s="2"/>
      <c r="D22" s="2"/>
      <c r="E22" s="2"/>
      <c r="F22" s="2"/>
      <c r="G22" s="2"/>
      <c r="H22" s="24" t="s">
        <v>37</v>
      </c>
      <c r="I22" s="7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3"/>
      <c r="B23" s="2"/>
      <c r="C23" s="2"/>
      <c r="D23" s="2"/>
      <c r="E23" s="2"/>
      <c r="F23" s="2"/>
      <c r="G23" s="2"/>
      <c r="H23" s="17" t="s">
        <v>11</v>
      </c>
      <c r="I23" s="17" t="s">
        <v>12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3"/>
      <c r="B24" s="2"/>
      <c r="C24" s="2"/>
      <c r="D24" s="2"/>
      <c r="E24" s="2"/>
      <c r="F24" s="2"/>
      <c r="G24" s="2"/>
      <c r="H24" s="29">
        <v>5.0</v>
      </c>
      <c r="I24" s="29">
        <v>0.0</v>
      </c>
      <c r="J24" s="2"/>
      <c r="K24" s="2" t="s">
        <v>40</v>
      </c>
      <c r="L24" s="30">
        <f>SUMPRODUCT('Q4-What_if'!Deviation,'Q4-What_if'!Penalty)</f>
        <v>-19775.15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"/>
      <c r="B25" s="2"/>
      <c r="C25" s="2"/>
      <c r="D25" s="2"/>
      <c r="E25" s="2"/>
      <c r="F25" s="2"/>
      <c r="G25" s="2"/>
      <c r="H25" s="29">
        <v>-1.0</v>
      </c>
      <c r="I25" s="29">
        <v>3.0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3"/>
      <c r="B26" s="2"/>
      <c r="C26" s="2"/>
      <c r="D26" s="2"/>
      <c r="E26" s="2"/>
      <c r="F26" s="2"/>
      <c r="G26" s="2"/>
      <c r="H26" s="29">
        <v>0.0</v>
      </c>
      <c r="I26" s="29">
        <v>4.0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3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3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3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3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C3:F3"/>
    <mergeCell ref="H3:I3"/>
    <mergeCell ref="J3:L3"/>
    <mergeCell ref="H22:I2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7.71"/>
    <col customWidth="1" min="3" max="3" width="16.0"/>
    <col customWidth="1" min="4" max="4" width="12.57"/>
    <col customWidth="1" min="5" max="5" width="5.14"/>
    <col customWidth="1" min="6" max="8" width="13.29"/>
    <col customWidth="1" min="9" max="9" width="25.43"/>
    <col customWidth="1" min="10" max="10" width="13.29"/>
    <col customWidth="1" min="11" max="11" width="12.71"/>
    <col customWidth="1" min="12" max="12" width="8.86"/>
    <col customWidth="1" min="13" max="26" width="8.71"/>
  </cols>
  <sheetData>
    <row r="1" ht="14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/>
      <c r="B2" s="2"/>
      <c r="C2" s="2"/>
      <c r="D2" s="2" t="s">
        <v>42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2"/>
      <c r="B4" s="10" t="s">
        <v>43</v>
      </c>
      <c r="C4" s="10" t="s">
        <v>44</v>
      </c>
      <c r="D4" s="10" t="s">
        <v>45</v>
      </c>
      <c r="E4" s="10" t="s">
        <v>35</v>
      </c>
      <c r="F4" s="10" t="s">
        <v>46</v>
      </c>
      <c r="G4" s="10" t="s">
        <v>47</v>
      </c>
      <c r="H4" s="2"/>
      <c r="I4" s="10" t="s">
        <v>48</v>
      </c>
      <c r="J4" s="10" t="s">
        <v>49</v>
      </c>
      <c r="K4" s="10"/>
      <c r="L4" s="10" t="s">
        <v>50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/>
      <c r="B5" s="17" t="s">
        <v>51</v>
      </c>
      <c r="C5" s="17" t="s">
        <v>52</v>
      </c>
      <c r="D5" s="16">
        <v>0.0</v>
      </c>
      <c r="E5" s="17" t="s">
        <v>35</v>
      </c>
      <c r="F5" s="15">
        <v>600.0</v>
      </c>
      <c r="G5" s="31">
        <v>32.0</v>
      </c>
      <c r="H5" s="2"/>
      <c r="I5" s="17" t="s">
        <v>51</v>
      </c>
      <c r="J5" s="15">
        <f>SUMIF(From,I5,Shipment)-SUMIF(To, I5,Shipment)</f>
        <v>200</v>
      </c>
      <c r="K5" s="17" t="s">
        <v>25</v>
      </c>
      <c r="L5" s="18">
        <v>200.0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2"/>
      <c r="B6" s="17" t="s">
        <v>51</v>
      </c>
      <c r="C6" s="17" t="s">
        <v>53</v>
      </c>
      <c r="D6" s="16">
        <v>200.0</v>
      </c>
      <c r="E6" s="17" t="s">
        <v>35</v>
      </c>
      <c r="F6" s="15">
        <v>300.0</v>
      </c>
      <c r="G6" s="31">
        <v>18.0</v>
      </c>
      <c r="H6" s="2"/>
      <c r="I6" s="17" t="s">
        <v>54</v>
      </c>
      <c r="J6" s="15">
        <f>SUMIF(From,I6,Shipment)-SUMIF(To, I6,Shipment)</f>
        <v>300</v>
      </c>
      <c r="K6" s="17" t="s">
        <v>25</v>
      </c>
      <c r="L6" s="18">
        <v>300.0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/>
      <c r="B7" s="17" t="s">
        <v>54</v>
      </c>
      <c r="C7" s="17" t="s">
        <v>52</v>
      </c>
      <c r="D7" s="16">
        <v>200.0</v>
      </c>
      <c r="E7" s="17" t="s">
        <v>35</v>
      </c>
      <c r="F7" s="15">
        <v>600.0</v>
      </c>
      <c r="G7" s="31">
        <v>32.0</v>
      </c>
      <c r="H7" s="2"/>
      <c r="I7" s="17" t="s">
        <v>55</v>
      </c>
      <c r="J7" s="15">
        <f>SUMIF(From,I7,Shipment)-SUMIF(To, I7,Shipment)</f>
        <v>100</v>
      </c>
      <c r="K7" s="17" t="s">
        <v>25</v>
      </c>
      <c r="L7" s="18">
        <v>100.0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17" t="s">
        <v>54</v>
      </c>
      <c r="C8" s="17" t="s">
        <v>53</v>
      </c>
      <c r="D8" s="16">
        <v>100.0</v>
      </c>
      <c r="E8" s="17" t="s">
        <v>35</v>
      </c>
      <c r="F8" s="15">
        <v>100.0</v>
      </c>
      <c r="G8" s="31">
        <v>18.0</v>
      </c>
      <c r="H8" s="2"/>
      <c r="I8" s="17" t="s">
        <v>52</v>
      </c>
      <c r="J8" s="15">
        <f>SUMIF(From,I8,Shipment)-SUMIF(To, I8,Shipment)</f>
        <v>0</v>
      </c>
      <c r="K8" s="17" t="s">
        <v>25</v>
      </c>
      <c r="L8" s="18">
        <v>0.0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17" t="s">
        <v>55</v>
      </c>
      <c r="C9" s="17" t="s">
        <v>52</v>
      </c>
      <c r="D9" s="16">
        <v>50.0</v>
      </c>
      <c r="E9" s="17" t="s">
        <v>35</v>
      </c>
      <c r="F9" s="15">
        <v>600.0</v>
      </c>
      <c r="G9" s="31">
        <v>32.0</v>
      </c>
      <c r="H9" s="2"/>
      <c r="I9" s="17" t="s">
        <v>53</v>
      </c>
      <c r="J9" s="15">
        <f>SUMIF(From,I9,Shipment)-SUMIF(To, I9,Shipment)</f>
        <v>0</v>
      </c>
      <c r="K9" s="17" t="s">
        <v>25</v>
      </c>
      <c r="L9" s="18">
        <v>0.0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17" t="s">
        <v>55</v>
      </c>
      <c r="C10" s="17" t="s">
        <v>53</v>
      </c>
      <c r="D10" s="16">
        <v>50.0</v>
      </c>
      <c r="E10" s="17" t="s">
        <v>35</v>
      </c>
      <c r="F10" s="15">
        <v>50.0</v>
      </c>
      <c r="G10" s="31">
        <v>18.0</v>
      </c>
      <c r="H10" s="2"/>
      <c r="I10" s="17" t="s">
        <v>56</v>
      </c>
      <c r="J10" s="15">
        <f>SUMIF(From,I10,Shipment)-SUMIF(To, I10,Shipment)</f>
        <v>-100</v>
      </c>
      <c r="K10" s="17" t="s">
        <v>25</v>
      </c>
      <c r="L10" s="18">
        <v>-100.0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17" t="s">
        <v>52</v>
      </c>
      <c r="C11" s="17" t="s">
        <v>56</v>
      </c>
      <c r="D11" s="16">
        <v>100.0</v>
      </c>
      <c r="E11" s="17" t="s">
        <v>35</v>
      </c>
      <c r="F11" s="15">
        <v>600.0</v>
      </c>
      <c r="G11" s="31">
        <v>25.0</v>
      </c>
      <c r="H11" s="2"/>
      <c r="I11" s="17" t="s">
        <v>57</v>
      </c>
      <c r="J11" s="15">
        <f>SUMIF(From,I11,Shipment)-SUMIF(To, I11,Shipment)</f>
        <v>-100</v>
      </c>
      <c r="K11" s="17" t="s">
        <v>25</v>
      </c>
      <c r="L11" s="18">
        <v>-100.0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17" t="s">
        <v>52</v>
      </c>
      <c r="C12" s="17" t="s">
        <v>57</v>
      </c>
      <c r="D12" s="16">
        <v>100.0</v>
      </c>
      <c r="E12" s="17" t="s">
        <v>35</v>
      </c>
      <c r="F12" s="15">
        <v>600.0</v>
      </c>
      <c r="G12" s="31">
        <v>25.0</v>
      </c>
      <c r="H12" s="2"/>
      <c r="I12" s="17" t="s">
        <v>58</v>
      </c>
      <c r="J12" s="15">
        <f>SUMIF(From,I12,Shipment)-SUMIF(To, I12,Shipment)</f>
        <v>-150</v>
      </c>
      <c r="K12" s="17" t="s">
        <v>25</v>
      </c>
      <c r="L12" s="18">
        <v>-150.0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17" t="s">
        <v>52</v>
      </c>
      <c r="C13" s="17" t="s">
        <v>58</v>
      </c>
      <c r="D13" s="16">
        <v>0.0</v>
      </c>
      <c r="E13" s="17" t="s">
        <v>35</v>
      </c>
      <c r="F13" s="15">
        <v>600.0</v>
      </c>
      <c r="G13" s="31">
        <v>25.0</v>
      </c>
      <c r="H13" s="2"/>
      <c r="I13" s="17" t="s">
        <v>59</v>
      </c>
      <c r="J13" s="15">
        <f>SUMIF(From,I13,Shipment)-SUMIF(To, I13,Shipment)</f>
        <v>-200</v>
      </c>
      <c r="K13" s="17" t="s">
        <v>25</v>
      </c>
      <c r="L13" s="18">
        <v>-200.0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17" t="s">
        <v>52</v>
      </c>
      <c r="C14" s="17" t="s">
        <v>59</v>
      </c>
      <c r="D14" s="16">
        <v>50.0</v>
      </c>
      <c r="E14" s="17" t="s">
        <v>35</v>
      </c>
      <c r="F14" s="15">
        <v>600.0</v>
      </c>
      <c r="G14" s="31">
        <v>25.0</v>
      </c>
      <c r="H14" s="2"/>
      <c r="I14" s="17" t="s">
        <v>60</v>
      </c>
      <c r="J14" s="15">
        <f>SUMIF(From,I14,Shipment)-SUMIF(To, I14,Shipment)</f>
        <v>-50</v>
      </c>
      <c r="K14" s="17" t="s">
        <v>25</v>
      </c>
      <c r="L14" s="18">
        <v>-50.0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17" t="s">
        <v>52</v>
      </c>
      <c r="C15" s="17" t="s">
        <v>60</v>
      </c>
      <c r="D15" s="16">
        <v>0.0</v>
      </c>
      <c r="E15" s="17" t="s">
        <v>35</v>
      </c>
      <c r="F15" s="15">
        <v>600.0</v>
      </c>
      <c r="G15" s="31">
        <v>25.0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17" t="s">
        <v>53</v>
      </c>
      <c r="C16" s="17" t="s">
        <v>56</v>
      </c>
      <c r="D16" s="16">
        <v>0.0</v>
      </c>
      <c r="E16" s="17" t="s">
        <v>35</v>
      </c>
      <c r="F16" s="15">
        <v>300.0</v>
      </c>
      <c r="G16" s="31">
        <v>15.0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17" t="s">
        <v>53</v>
      </c>
      <c r="C17" s="17" t="s">
        <v>57</v>
      </c>
      <c r="D17" s="16">
        <v>0.0</v>
      </c>
      <c r="E17" s="17" t="s">
        <v>35</v>
      </c>
      <c r="F17" s="15">
        <v>300.0</v>
      </c>
      <c r="G17" s="31">
        <v>15.0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17" t="s">
        <v>53</v>
      </c>
      <c r="C18" s="17" t="s">
        <v>58</v>
      </c>
      <c r="D18" s="16">
        <v>150.0</v>
      </c>
      <c r="E18" s="17" t="s">
        <v>35</v>
      </c>
      <c r="F18" s="15">
        <v>300.0</v>
      </c>
      <c r="G18" s="31">
        <v>15.0</v>
      </c>
      <c r="H18" s="2"/>
      <c r="I18" s="2"/>
      <c r="J18" s="2" t="s">
        <v>61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17" t="s">
        <v>53</v>
      </c>
      <c r="C19" s="17" t="s">
        <v>59</v>
      </c>
      <c r="D19" s="16">
        <v>150.0</v>
      </c>
      <c r="E19" s="17" t="s">
        <v>35</v>
      </c>
      <c r="F19" s="15">
        <v>300.0</v>
      </c>
      <c r="G19" s="31">
        <v>15.0</v>
      </c>
      <c r="H19" s="2"/>
      <c r="I19" s="2"/>
      <c r="J19" s="32">
        <f>SUMPRODUCT(Shipment, Unit_Cost)</f>
        <v>25800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17" t="s">
        <v>53</v>
      </c>
      <c r="C20" s="17" t="s">
        <v>60</v>
      </c>
      <c r="D20" s="16">
        <v>50.0</v>
      </c>
      <c r="E20" s="17" t="s">
        <v>35</v>
      </c>
      <c r="F20" s="15">
        <v>300.0</v>
      </c>
      <c r="G20" s="31">
        <v>15.0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2022-12-10T13:33:15Z</dcterms:created>
  <dc:creator>Saiprabha Mittal</dc:creator>
</cp:coreProperties>
</file>